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BU III" sheetId="1" r:id="rId1"/>
    <sheet name="BS III" sheetId="2" r:id="rId2"/>
    <sheet name="novcani tok" sheetId="3" r:id="rId3"/>
    <sheet name="pokazatelji tabela I" sheetId="4" r:id="rId4"/>
    <sheet name="pokazatelji tabela II" sheetId="5" r:id="rId5"/>
  </sheets>
  <definedNames/>
  <calcPr fullCalcOnLoad="1"/>
</workbook>
</file>

<file path=xl/sharedStrings.xml><?xml version="1.0" encoding="utf-8"?>
<sst xmlns="http://schemas.openxmlformats.org/spreadsheetml/2006/main" count="353" uniqueCount="160">
  <si>
    <t>u 000 din</t>
  </si>
  <si>
    <t>METALAC a.d.</t>
  </si>
  <si>
    <t>POSUĐE</t>
  </si>
  <si>
    <t>INKO</t>
  </si>
  <si>
    <t>PRINT</t>
  </si>
  <si>
    <t>BOJLER</t>
  </si>
  <si>
    <t>MARKET</t>
  </si>
  <si>
    <t>TRADE</t>
  </si>
  <si>
    <t>METALURGIJA</t>
  </si>
  <si>
    <t>PROLETER</t>
  </si>
  <si>
    <t>METROT</t>
  </si>
  <si>
    <t>MARKET-Podgorica</t>
  </si>
  <si>
    <t>PROMO-METAL</t>
  </si>
  <si>
    <t>u eur</t>
  </si>
  <si>
    <t>Stalna imovina</t>
  </si>
  <si>
    <t>Obrtna imovina</t>
  </si>
  <si>
    <t>Kapital</t>
  </si>
  <si>
    <t>Dugoročne obaveze</t>
  </si>
  <si>
    <t>Nematerijlna ulaganja,nekretnine i oprema</t>
  </si>
  <si>
    <t xml:space="preserve">Učešće u kapitalu                  </t>
  </si>
  <si>
    <t>AKTIVA</t>
  </si>
  <si>
    <t>PASIVA</t>
  </si>
  <si>
    <t>Osnovni kapital</t>
  </si>
  <si>
    <t>Ostali kapital</t>
  </si>
  <si>
    <t>Neraspoređena dobit</t>
  </si>
  <si>
    <t>Gubitak</t>
  </si>
  <si>
    <t>Dugoročna rezervisanja</t>
  </si>
  <si>
    <t>Dugoročni krediti</t>
  </si>
  <si>
    <t>Kratkoročne obaveze</t>
  </si>
  <si>
    <t>Obaveze iz poslovanja (dobavljači)</t>
  </si>
  <si>
    <t>Ostale obaveze</t>
  </si>
  <si>
    <t>Odložne poreske obaveze</t>
  </si>
  <si>
    <t>Rezerve</t>
  </si>
  <si>
    <t>Kratkoročni kreidti</t>
  </si>
  <si>
    <t>Gubitak iznad visine kapitala</t>
  </si>
  <si>
    <t>Ostale dugoročne obaveze (zajmovi)</t>
  </si>
  <si>
    <t>Dugoročni zajmovi ZD</t>
  </si>
  <si>
    <t>Potraživanja (kupci)</t>
  </si>
  <si>
    <t>Kratkoročni zajmovi ZD</t>
  </si>
  <si>
    <t>Krat. fin.plasmani (potrošački zajmovi)</t>
  </si>
  <si>
    <t>Zalihe</t>
  </si>
  <si>
    <t>Ostala potraživanja</t>
  </si>
  <si>
    <t>Gotovina i gotovinski ekvivalent</t>
  </si>
  <si>
    <t>POSLOVNI PRIHODI</t>
  </si>
  <si>
    <t>Prihod od prodaje</t>
  </si>
  <si>
    <t>Prihod od prodaje na domaćem tržištu</t>
  </si>
  <si>
    <t>Prihod od prodaje na ino. tržištu</t>
  </si>
  <si>
    <t>Prihod od aktiviranja učinaka i robe</t>
  </si>
  <si>
    <t>Povećanje vrednosti zaliha učinaka</t>
  </si>
  <si>
    <t>Smanjnje vrednosti zaliha učinaka</t>
  </si>
  <si>
    <t>Ostali poslovni prihodi</t>
  </si>
  <si>
    <t>POSLOVNI RASHODI</t>
  </si>
  <si>
    <t>Nabavna rvrednost prodate robe</t>
  </si>
  <si>
    <t>Troškovi materijala i energije</t>
  </si>
  <si>
    <t>Troškovi zarada i ostali lični rashodi</t>
  </si>
  <si>
    <t>Troškovi amortizacije</t>
  </si>
  <si>
    <t>Ostali poslovni rashodi</t>
  </si>
  <si>
    <t>POSLOVNI DOBITAK / GUBITAK</t>
  </si>
  <si>
    <t>FINANSIJSKI PRIHODI</t>
  </si>
  <si>
    <t>FINANSIJSKI RASHODI</t>
  </si>
  <si>
    <t>OSTALI PRIHODI</t>
  </si>
  <si>
    <t>OSTALI RASHODI</t>
  </si>
  <si>
    <t>FINANSIJSKI DOBITAK / GUBITAK</t>
  </si>
  <si>
    <t>OSTALI DOBITAK / GUBITAK</t>
  </si>
  <si>
    <t xml:space="preserve">DOBITAK / GUBITAK </t>
  </si>
  <si>
    <t>Tokovi gotovine iz poslovnih aktivnosti</t>
  </si>
  <si>
    <t>Prodaja i primljeni avansi</t>
  </si>
  <si>
    <t>Primljene kamate iz poslovnih aktivnosti</t>
  </si>
  <si>
    <t>Ostali prilivi iz redovnog poslovanja</t>
  </si>
  <si>
    <t>Isplate dobavljačima i dati avansi</t>
  </si>
  <si>
    <t>Zarade, naknade zarada i ostali lični rashodi</t>
  </si>
  <si>
    <t>Plaćene kamate</t>
  </si>
  <si>
    <t>Porez na dobitak</t>
  </si>
  <si>
    <t>Plaćanja po osnovu ostalih javnih prihoda</t>
  </si>
  <si>
    <t>Neto priliv/odliv iz poslovnih aktivnosti</t>
  </si>
  <si>
    <t>Tokovi gotovine iz aktivnosti investiranja</t>
  </si>
  <si>
    <t>Prodaja akcija i udela (neto priliv)</t>
  </si>
  <si>
    <t>Prodaja nekretnina, postrojenja i opreme</t>
  </si>
  <si>
    <t>Ostali finansijski plasmani (neto priliv)</t>
  </si>
  <si>
    <t>Primljene kamate</t>
  </si>
  <si>
    <t>Primljene dividende</t>
  </si>
  <si>
    <t>Kupovina akcija i udela (neto odliv)</t>
  </si>
  <si>
    <t>Kupovina nemater. ulaganja, nekretnina i opreme</t>
  </si>
  <si>
    <t>Ostali finansijski plasmnai (neto odliv)</t>
  </si>
  <si>
    <t>Neto priliv/odliv iz aktivnosti investiranja</t>
  </si>
  <si>
    <t>Tokovi gotovine iz aktivnosti finansiranja</t>
  </si>
  <si>
    <t>Dugoročni i kratkoročni krediti (neto priliv/odliv)</t>
  </si>
  <si>
    <t>Isplaćena dividenda i učešća u dobitku</t>
  </si>
  <si>
    <t>Finansijski lizing</t>
  </si>
  <si>
    <t>Neto odliv iz aktivnosti finansiranja</t>
  </si>
  <si>
    <t>Neto priliv/odliv gotovine</t>
  </si>
  <si>
    <t>Gotovina na početku obračunskog perioda</t>
  </si>
  <si>
    <t>Gotovina na kraju obračunskog perioda</t>
  </si>
  <si>
    <t xml:space="preserve"> </t>
  </si>
  <si>
    <t xml:space="preserve">Pozitivne kursne razlike </t>
  </si>
  <si>
    <t>METPOR</t>
  </si>
  <si>
    <t>Pozitivne(negativne) kusne razlike</t>
  </si>
  <si>
    <t>Uvećanje osnovnog kapitala</t>
  </si>
  <si>
    <t>,</t>
  </si>
  <si>
    <t>Ostali finansijski plasmnai (neto priliv/odliv)</t>
  </si>
  <si>
    <t>BILANS USPEHA METALAC-GROUP ZA PERIOD JANUAR-MART 2011.god (domaće)</t>
  </si>
  <si>
    <t>BILANS USPEHA METALAC-GROUP ZA PERIOD JANUAR-MART 2011.god (ino)</t>
  </si>
  <si>
    <t>IZVEŠTAJ O TOKOVIMA GOTOVINE METALAC GROUP ZA PERIOD JANUAR-MART 2011.god.(ino)</t>
  </si>
  <si>
    <t>IZVEŠTAJ O TOKOVIMA GOTOVINE METALAC GROUP ZA PERIOD JANUAR-MART 2011.god.(domaće)</t>
  </si>
  <si>
    <t>BILANS STANJA METALAC-GROUP ZA PERIOD JANUAR-MART 2011.god (domaće)</t>
  </si>
  <si>
    <t>BILANS STANJA METALAC-GROUP ZA PERIOD JANUAR-MART 2011.god (ino)</t>
  </si>
  <si>
    <t>FINANSIJSKI POKAZATELJI METALAC GROUP (proizvodna)</t>
  </si>
  <si>
    <t>Pokazatelji likvidnosti</t>
  </si>
  <si>
    <t>Koeficijent tekuće (opšte) likvidnosti</t>
  </si>
  <si>
    <t>Koeficijent ubrzane likvidnosti</t>
  </si>
  <si>
    <t>Koeficijent trenutne likvidnosti</t>
  </si>
  <si>
    <t>Pokazatelji poslovne aktivnosti</t>
  </si>
  <si>
    <t>Koeficijent obrta zaliha materijala</t>
  </si>
  <si>
    <t>Dani vezivanja zaliha materijala</t>
  </si>
  <si>
    <t>Koeficijent obrta zaliha robe</t>
  </si>
  <si>
    <t>Dani vezivanja zaliha robe</t>
  </si>
  <si>
    <t>Koeficijent obrta potraživanja</t>
  </si>
  <si>
    <t>Prosečno vreme naplate potraživanja</t>
  </si>
  <si>
    <t>Koeficijent obrta obaveza</t>
  </si>
  <si>
    <t>Prosečno vreme plaćanja obaveza</t>
  </si>
  <si>
    <t>Pokazatelji profitabilnosti</t>
  </si>
  <si>
    <t>Stopa marže bruto profita (%)</t>
  </si>
  <si>
    <t>Rentabilitet imovine (ROA) (%)</t>
  </si>
  <si>
    <t>Rentabilitet sopstvenog kapitala (ROE) (%)</t>
  </si>
  <si>
    <t>Pokazatelji fin. strukture (zaduženosti)</t>
  </si>
  <si>
    <t>Koeficijent samofinansiranja</t>
  </si>
  <si>
    <t>Koeficijent zaduženosti</t>
  </si>
  <si>
    <t>Koeficijent finansijskiih sposobnosti</t>
  </si>
  <si>
    <t>Kreditna sposobnost</t>
  </si>
  <si>
    <t>Faktor zaduženosti (godine)</t>
  </si>
  <si>
    <t>Pokriće troškova kamate</t>
  </si>
  <si>
    <t>Odnos duga i sopstvenog kapitala</t>
  </si>
  <si>
    <t>FINANSIJSKI POKAZATELJI METALAC GROUP (trgovina domaća)</t>
  </si>
  <si>
    <t>Pokazatelji fin.strukture (zaduženosti)</t>
  </si>
  <si>
    <t>FINANSIJSKI POKAZATELJI METALAC GROUP (trgovina ino)</t>
  </si>
  <si>
    <t>METROT-Moskva</t>
  </si>
  <si>
    <t xml:space="preserve">METALAC-MARKET-Podgorica </t>
  </si>
  <si>
    <t>PROMO-METAL-Zagreb</t>
  </si>
  <si>
    <t xml:space="preserve">ANALIZA REZULTATA U USLOVIMA RIZIKA (LEVERIDŽA) METALAC GROUP </t>
  </si>
  <si>
    <t>Proizvodnja</t>
  </si>
  <si>
    <t>Faktor poslovnog leveridža (FPL)</t>
  </si>
  <si>
    <t>Faktor finansijskog leveridža (FFL)</t>
  </si>
  <si>
    <t xml:space="preserve">Faktor kombinovanog  leveridža </t>
  </si>
  <si>
    <t>Prelomna tačka rentab. (PTR) u 000 din</t>
  </si>
  <si>
    <t>Marža sigurnosti</t>
  </si>
  <si>
    <t>Napomena:</t>
  </si>
  <si>
    <t>Fiksni / Varijabilni tr. = 56 / 44</t>
  </si>
  <si>
    <t>Fiksni / Varijabilni tr. = 31 / 69</t>
  </si>
  <si>
    <t>Fiksni / Varijabilni tr. = 24 / 76</t>
  </si>
  <si>
    <t>Fiksni / Varijabilni tr. = 30 / 70</t>
  </si>
  <si>
    <t>Trgovina domaća</t>
  </si>
  <si>
    <t>Fiksni / Varijabilni tr. = 19 / 81</t>
  </si>
  <si>
    <t>Fiksni / Varijabilni tr. = 15 / 85</t>
  </si>
  <si>
    <t>Fiksni / Varijabilni tr. = 25 / 75</t>
  </si>
  <si>
    <t>Trgovina ino</t>
  </si>
  <si>
    <t>Prelomna tačka rentab. (PTR) u €</t>
  </si>
  <si>
    <t>Fiksni / Varijabilni tr. = 14 / 86</t>
  </si>
  <si>
    <t>Fiksni / Varijabilni tr. = 11 / 89</t>
  </si>
  <si>
    <t>GENERALNI DIREKTOR</t>
  </si>
  <si>
    <t>Petrašin Jakovljević, dipl. ing.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</si>
</sst>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;[Red]#,##0"/>
    <numFmt numFmtId="176" formatCode="#,##0;[Black]\(#,##0\)"/>
    <numFmt numFmtId="177" formatCode="d/m/yy;@"/>
    <numFmt numFmtId="178" formatCode="#,##0.0"/>
  </numFmts>
  <fonts count="16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14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color indexed="57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4" xfId="0" applyNumberFormat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8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9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176" fontId="4" fillId="0" borderId="4" xfId="0" applyNumberFormat="1" applyFont="1" applyBorder="1" applyAlignment="1">
      <alignment horizontal="right" vertical="center" wrapText="1"/>
    </xf>
    <xf numFmtId="176" fontId="3" fillId="0" borderId="13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7" fillId="0" borderId="0" xfId="0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3" fontId="4" fillId="0" borderId="1" xfId="0" applyNumberFormat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right" vertical="center" wrapText="1"/>
    </xf>
    <xf numFmtId="176" fontId="3" fillId="0" borderId="14" xfId="0" applyNumberFormat="1" applyFont="1" applyBorder="1" applyAlignment="1">
      <alignment horizontal="righ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177" fontId="1" fillId="0" borderId="3" xfId="0" applyNumberFormat="1" applyFont="1" applyBorder="1" applyAlignment="1">
      <alignment horizontal="center" vertical="top" wrapText="1"/>
    </xf>
    <xf numFmtId="177" fontId="1" fillId="0" borderId="1" xfId="0" applyNumberFormat="1" applyFont="1" applyBorder="1" applyAlignment="1">
      <alignment horizontal="center" vertical="top" wrapText="1"/>
    </xf>
    <xf numFmtId="177" fontId="1" fillId="0" borderId="4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0" fontId="12" fillId="0" borderId="18" xfId="0" applyFont="1" applyBorder="1" applyAlignment="1">
      <alignment/>
    </xf>
    <xf numFmtId="3" fontId="12" fillId="0" borderId="3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4" fontId="12" fillId="0" borderId="3" xfId="0" applyNumberFormat="1" applyFont="1" applyBorder="1" applyAlignment="1">
      <alignment/>
    </xf>
    <xf numFmtId="4" fontId="12" fillId="0" borderId="1" xfId="0" applyNumberFormat="1" applyFont="1" applyBorder="1" applyAlignment="1">
      <alignment/>
    </xf>
    <xf numFmtId="4" fontId="12" fillId="0" borderId="4" xfId="0" applyNumberFormat="1" applyFont="1" applyBorder="1" applyAlignment="1">
      <alignment/>
    </xf>
    <xf numFmtId="178" fontId="12" fillId="0" borderId="3" xfId="0" applyNumberFormat="1" applyFont="1" applyBorder="1" applyAlignment="1">
      <alignment/>
    </xf>
    <xf numFmtId="178" fontId="12" fillId="0" borderId="1" xfId="0" applyNumberFormat="1" applyFont="1" applyBorder="1" applyAlignment="1">
      <alignment/>
    </xf>
    <xf numFmtId="178" fontId="12" fillId="0" borderId="4" xfId="0" applyNumberFormat="1" applyFont="1" applyBorder="1" applyAlignment="1">
      <alignment/>
    </xf>
    <xf numFmtId="178" fontId="12" fillId="0" borderId="1" xfId="0" applyNumberFormat="1" applyFont="1" applyBorder="1" applyAlignment="1">
      <alignment horizontal="right"/>
    </xf>
    <xf numFmtId="0" fontId="12" fillId="0" borderId="20" xfId="0" applyFont="1" applyBorder="1" applyAlignment="1">
      <alignment/>
    </xf>
    <xf numFmtId="4" fontId="12" fillId="0" borderId="7" xfId="0" applyNumberFormat="1" applyFont="1" applyBorder="1" applyAlignment="1">
      <alignment/>
    </xf>
    <xf numFmtId="4" fontId="12" fillId="0" borderId="8" xfId="0" applyNumberFormat="1" applyFont="1" applyBorder="1" applyAlignment="1">
      <alignment/>
    </xf>
    <xf numFmtId="4" fontId="12" fillId="0" borderId="9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3" fontId="12" fillId="0" borderId="13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178" fontId="12" fillId="0" borderId="13" xfId="0" applyNumberFormat="1" applyFont="1" applyBorder="1" applyAlignment="1">
      <alignment/>
    </xf>
    <xf numFmtId="178" fontId="12" fillId="0" borderId="19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justify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1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 wrapText="1"/>
    </xf>
    <xf numFmtId="0" fontId="0" fillId="0" borderId="5" xfId="0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Border="1" applyAlignment="1">
      <alignment/>
    </xf>
    <xf numFmtId="4" fontId="11" fillId="0" borderId="7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  <xf numFmtId="4" fontId="11" fillId="0" borderId="9" xfId="0" applyNumberFormat="1" applyFont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4" fontId="12" fillId="0" borderId="1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3" fontId="12" fillId="0" borderId="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2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12" fillId="0" borderId="22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vertical="center"/>
    </xf>
    <xf numFmtId="0" fontId="12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4" fontId="12" fillId="0" borderId="19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/>
    </xf>
    <xf numFmtId="3" fontId="12" fillId="0" borderId="3" xfId="0" applyNumberFormat="1" applyFont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10" fillId="0" borderId="0" xfId="0" applyFont="1" applyBorder="1" applyAlignment="1">
      <alignment horizontal="justify"/>
    </xf>
    <xf numFmtId="0" fontId="4" fillId="0" borderId="25" xfId="0" applyFont="1" applyBorder="1" applyAlignment="1">
      <alignment horizontal="justify"/>
    </xf>
    <xf numFmtId="0" fontId="4" fillId="0" borderId="26" xfId="0" applyFont="1" applyBorder="1" applyAlignment="1">
      <alignment horizontal="justify"/>
    </xf>
    <xf numFmtId="0" fontId="4" fillId="0" borderId="27" xfId="0" applyFont="1" applyBorder="1" applyAlignment="1">
      <alignment horizontal="justify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15" fillId="0" borderId="0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34">
      <selection activeCell="B41" sqref="B41:D41"/>
    </sheetView>
  </sheetViews>
  <sheetFormatPr defaultColWidth="9.140625" defaultRowHeight="12.75"/>
  <cols>
    <col min="1" max="1" width="34.00390625" style="39" customWidth="1"/>
    <col min="2" max="2" width="10.8515625" style="39" customWidth="1"/>
    <col min="3" max="3" width="8.8515625" style="39" customWidth="1"/>
    <col min="4" max="4" width="8.28125" style="39" customWidth="1"/>
    <col min="5" max="5" width="9.57421875" style="39" customWidth="1"/>
    <col min="6" max="6" width="9.28125" style="39" customWidth="1"/>
    <col min="7" max="7" width="9.57421875" style="39" customWidth="1"/>
    <col min="8" max="8" width="9.00390625" style="39" customWidth="1"/>
    <col min="9" max="9" width="9.57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152" t="s">
        <v>100</v>
      </c>
      <c r="B1" s="152"/>
      <c r="C1" s="152"/>
      <c r="D1" s="152"/>
      <c r="E1" s="152"/>
      <c r="F1" s="152"/>
      <c r="G1" s="152"/>
      <c r="H1" s="152"/>
      <c r="I1" s="48"/>
    </row>
    <row r="2" spans="1:9" ht="14.25" customHeight="1">
      <c r="A2" s="153"/>
      <c r="B2" s="153"/>
      <c r="C2" s="153"/>
      <c r="D2" s="153"/>
      <c r="E2" s="153"/>
      <c r="F2" s="153"/>
      <c r="G2" s="153"/>
      <c r="H2" s="153"/>
      <c r="I2" s="49"/>
    </row>
    <row r="3" spans="1:11" ht="16.5" customHeight="1" thickBot="1">
      <c r="A3" s="1"/>
      <c r="B3" s="1"/>
      <c r="C3" s="40"/>
      <c r="D3" s="25"/>
      <c r="E3" s="25"/>
      <c r="F3" s="25"/>
      <c r="G3" s="41"/>
      <c r="H3" s="41"/>
      <c r="I3" s="41"/>
      <c r="K3" s="44" t="s">
        <v>0</v>
      </c>
    </row>
    <row r="4" spans="1:11" ht="16.5" customHeight="1">
      <c r="A4" s="10"/>
      <c r="B4" s="55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95</v>
      </c>
      <c r="J4" s="56" t="s">
        <v>8</v>
      </c>
      <c r="K4" s="53" t="s">
        <v>9</v>
      </c>
    </row>
    <row r="5" spans="1:11" ht="12.75" customHeight="1">
      <c r="A5" s="11" t="s">
        <v>43</v>
      </c>
      <c r="B5" s="5">
        <f>B7+B11+B12+B13+B14</f>
        <v>164795</v>
      </c>
      <c r="C5" s="5">
        <f>C7+C11+C12+C13+C14</f>
        <v>603879</v>
      </c>
      <c r="D5" s="5">
        <f>D7+D11+D12+D13+D14</f>
        <v>50000</v>
      </c>
      <c r="E5" s="5">
        <f>E7+E11+E12+E13+E14</f>
        <v>73609</v>
      </c>
      <c r="F5" s="5">
        <f aca="true" t="shared" si="0" ref="F5:K5">SUM(F11:F14)+F7</f>
        <v>72333</v>
      </c>
      <c r="G5" s="5">
        <f t="shared" si="0"/>
        <v>143308</v>
      </c>
      <c r="H5" s="5">
        <f t="shared" si="0"/>
        <v>80207</v>
      </c>
      <c r="I5" s="5">
        <f t="shared" si="0"/>
        <v>9867</v>
      </c>
      <c r="J5" s="5">
        <f t="shared" si="0"/>
        <v>124860</v>
      </c>
      <c r="K5" s="12">
        <f t="shared" si="0"/>
        <v>136692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44</v>
      </c>
      <c r="B7" s="4">
        <f aca="true" t="shared" si="1" ref="B7:K7">SUM(B8:B9)</f>
        <v>81986</v>
      </c>
      <c r="C7" s="4">
        <f t="shared" si="1"/>
        <v>531897</v>
      </c>
      <c r="D7" s="4">
        <f t="shared" si="1"/>
        <v>28572</v>
      </c>
      <c r="E7" s="4">
        <f t="shared" si="1"/>
        <v>70965</v>
      </c>
      <c r="F7" s="4">
        <f t="shared" si="1"/>
        <v>52526</v>
      </c>
      <c r="G7" s="4">
        <f t="shared" si="1"/>
        <v>142857</v>
      </c>
      <c r="H7" s="4">
        <f t="shared" si="1"/>
        <v>80153</v>
      </c>
      <c r="I7" s="4">
        <f t="shared" si="1"/>
        <v>9131</v>
      </c>
      <c r="J7" s="4">
        <f t="shared" si="1"/>
        <v>120013</v>
      </c>
      <c r="K7" s="15">
        <f t="shared" si="1"/>
        <v>126686</v>
      </c>
    </row>
    <row r="8" spans="1:11" ht="12.75" customHeight="1">
      <c r="A8" s="13" t="s">
        <v>45</v>
      </c>
      <c r="B8" s="3">
        <v>57670</v>
      </c>
      <c r="C8" s="3">
        <v>214103</v>
      </c>
      <c r="D8" s="3">
        <v>12793</v>
      </c>
      <c r="E8" s="3">
        <v>70761</v>
      </c>
      <c r="F8" s="3">
        <v>41676</v>
      </c>
      <c r="G8" s="3">
        <v>142857</v>
      </c>
      <c r="H8" s="3">
        <v>59888</v>
      </c>
      <c r="I8" s="3">
        <f>6692+2426</f>
        <v>9118</v>
      </c>
      <c r="J8" s="3">
        <v>120013</v>
      </c>
      <c r="K8" s="14">
        <v>126686</v>
      </c>
    </row>
    <row r="9" spans="1:11" ht="12.75" customHeight="1">
      <c r="A9" s="13" t="s">
        <v>46</v>
      </c>
      <c r="B9" s="3">
        <v>24316</v>
      </c>
      <c r="C9" s="3">
        <v>317794</v>
      </c>
      <c r="D9" s="3">
        <v>15779</v>
      </c>
      <c r="E9" s="3">
        <v>204</v>
      </c>
      <c r="F9" s="3">
        <v>10850</v>
      </c>
      <c r="G9" s="3">
        <v>0</v>
      </c>
      <c r="H9" s="3">
        <v>20265</v>
      </c>
      <c r="I9" s="3">
        <v>13</v>
      </c>
      <c r="J9" s="3">
        <v>0</v>
      </c>
      <c r="K9" s="14">
        <v>0</v>
      </c>
    </row>
    <row r="10" spans="1:11" ht="12.75" customHeight="1">
      <c r="A10" s="13"/>
      <c r="B10" s="3"/>
      <c r="C10" s="3"/>
      <c r="D10" s="3"/>
      <c r="E10" s="3"/>
      <c r="F10" s="3"/>
      <c r="G10" s="3"/>
      <c r="H10" s="3"/>
      <c r="I10" s="3"/>
      <c r="J10" s="3"/>
      <c r="K10" s="14"/>
    </row>
    <row r="11" spans="1:11" ht="12.75" customHeight="1">
      <c r="A11" s="13" t="s">
        <v>47</v>
      </c>
      <c r="B11" s="3">
        <v>4221</v>
      </c>
      <c r="C11" s="3">
        <v>2282</v>
      </c>
      <c r="D11" s="3">
        <v>0</v>
      </c>
      <c r="E11" s="24">
        <v>0</v>
      </c>
      <c r="F11" s="3">
        <v>27</v>
      </c>
      <c r="G11" s="3">
        <v>5</v>
      </c>
      <c r="H11" s="3">
        <v>0</v>
      </c>
      <c r="I11" s="3">
        <v>0</v>
      </c>
      <c r="J11" s="3">
        <v>127</v>
      </c>
      <c r="K11" s="14">
        <v>205</v>
      </c>
    </row>
    <row r="12" spans="1:11" ht="12.75" customHeight="1">
      <c r="A12" s="13" t="s">
        <v>48</v>
      </c>
      <c r="B12" s="3">
        <v>0</v>
      </c>
      <c r="C12" s="3">
        <v>54474</v>
      </c>
      <c r="D12" s="3">
        <v>21410</v>
      </c>
      <c r="E12" s="3">
        <v>2072</v>
      </c>
      <c r="F12" s="24">
        <v>19165</v>
      </c>
      <c r="G12" s="3">
        <v>0</v>
      </c>
      <c r="H12" s="3">
        <v>0</v>
      </c>
      <c r="I12" s="3">
        <v>218</v>
      </c>
      <c r="J12" s="3">
        <v>0</v>
      </c>
      <c r="K12" s="14">
        <v>0</v>
      </c>
    </row>
    <row r="13" spans="1:11" ht="12.75" customHeight="1">
      <c r="A13" s="13" t="s">
        <v>49</v>
      </c>
      <c r="B13" s="3">
        <v>0</v>
      </c>
      <c r="C13" s="24">
        <v>0</v>
      </c>
      <c r="D13" s="24"/>
      <c r="E13" s="24">
        <v>0</v>
      </c>
      <c r="F13" s="24">
        <v>0</v>
      </c>
      <c r="G13" s="3">
        <v>0</v>
      </c>
      <c r="H13" s="3">
        <v>0</v>
      </c>
      <c r="I13" s="3">
        <v>0</v>
      </c>
      <c r="J13" s="3">
        <v>0</v>
      </c>
      <c r="K13" s="14">
        <v>0</v>
      </c>
    </row>
    <row r="14" spans="1:11" ht="12.75" customHeight="1">
      <c r="A14" s="13" t="s">
        <v>50</v>
      </c>
      <c r="B14" s="3">
        <v>78588</v>
      </c>
      <c r="C14" s="3">
        <v>15226</v>
      </c>
      <c r="D14" s="3">
        <v>18</v>
      </c>
      <c r="E14" s="3">
        <v>572</v>
      </c>
      <c r="F14" s="3">
        <v>615</v>
      </c>
      <c r="G14" s="3">
        <v>446</v>
      </c>
      <c r="H14" s="3">
        <v>54</v>
      </c>
      <c r="I14" s="3">
        <v>518</v>
      </c>
      <c r="J14" s="3">
        <v>4720</v>
      </c>
      <c r="K14" s="14">
        <v>9801</v>
      </c>
    </row>
    <row r="15" spans="1:11" ht="12.75" customHeight="1">
      <c r="A15" s="13"/>
      <c r="B15" s="3"/>
      <c r="C15" s="3"/>
      <c r="D15" s="3"/>
      <c r="E15" s="3"/>
      <c r="F15" s="3"/>
      <c r="G15" s="4"/>
      <c r="H15" s="4"/>
      <c r="I15" s="4"/>
      <c r="J15" s="4"/>
      <c r="K15" s="15"/>
    </row>
    <row r="16" spans="1:11" ht="12.75" customHeight="1">
      <c r="A16" s="11" t="s">
        <v>51</v>
      </c>
      <c r="B16" s="4">
        <f aca="true" t="shared" si="2" ref="B16:K16">SUM(B18:B22)</f>
        <v>147819</v>
      </c>
      <c r="C16" s="4">
        <f t="shared" si="2"/>
        <v>487789</v>
      </c>
      <c r="D16" s="4">
        <f t="shared" si="2"/>
        <v>50185</v>
      </c>
      <c r="E16" s="4">
        <f t="shared" si="2"/>
        <v>63225</v>
      </c>
      <c r="F16" s="4">
        <f t="shared" si="2"/>
        <v>72740</v>
      </c>
      <c r="G16" s="4">
        <f t="shared" si="2"/>
        <v>153163</v>
      </c>
      <c r="H16" s="4">
        <f t="shared" si="2"/>
        <v>59982</v>
      </c>
      <c r="I16" s="4">
        <f t="shared" si="2"/>
        <v>8898</v>
      </c>
      <c r="J16" s="4">
        <f t="shared" si="2"/>
        <v>124720</v>
      </c>
      <c r="K16" s="15">
        <f t="shared" si="2"/>
        <v>138950</v>
      </c>
    </row>
    <row r="17" spans="1:11" ht="12.75" customHeight="1">
      <c r="A17" s="13"/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52</v>
      </c>
      <c r="B18" s="3">
        <v>1034</v>
      </c>
      <c r="C18" s="3">
        <v>7132</v>
      </c>
      <c r="D18" s="3">
        <v>677</v>
      </c>
      <c r="E18" s="3">
        <v>5734</v>
      </c>
      <c r="F18" s="3">
        <v>0</v>
      </c>
      <c r="G18" s="3">
        <v>111899</v>
      </c>
      <c r="H18" s="3">
        <v>46849</v>
      </c>
      <c r="I18" s="3">
        <v>5017</v>
      </c>
      <c r="J18" s="3">
        <v>97465</v>
      </c>
      <c r="K18" s="14">
        <v>105754</v>
      </c>
    </row>
    <row r="19" spans="1:11" ht="12.75" customHeight="1">
      <c r="A19" s="13" t="s">
        <v>53</v>
      </c>
      <c r="B19" s="3">
        <v>53832</v>
      </c>
      <c r="C19" s="3">
        <v>285716</v>
      </c>
      <c r="D19" s="3">
        <v>30817</v>
      </c>
      <c r="E19" s="3">
        <v>35819</v>
      </c>
      <c r="F19" s="3">
        <v>46173</v>
      </c>
      <c r="G19" s="3">
        <v>1719</v>
      </c>
      <c r="H19" s="3">
        <v>678</v>
      </c>
      <c r="I19" s="3">
        <v>420</v>
      </c>
      <c r="J19" s="3">
        <v>2876</v>
      </c>
      <c r="K19" s="14">
        <v>5694</v>
      </c>
    </row>
    <row r="20" spans="1:11" ht="12.75" customHeight="1">
      <c r="A20" s="13" t="s">
        <v>54</v>
      </c>
      <c r="B20" s="3">
        <v>37546</v>
      </c>
      <c r="C20" s="3">
        <v>99139</v>
      </c>
      <c r="D20" s="3">
        <v>6309</v>
      </c>
      <c r="E20" s="3">
        <v>11400</v>
      </c>
      <c r="F20" s="3">
        <v>9683</v>
      </c>
      <c r="G20" s="3">
        <v>17854</v>
      </c>
      <c r="H20" s="3">
        <v>4442</v>
      </c>
      <c r="I20" s="3">
        <v>2637</v>
      </c>
      <c r="J20" s="3">
        <v>15221</v>
      </c>
      <c r="K20" s="14">
        <v>19607</v>
      </c>
    </row>
    <row r="21" spans="1:11" ht="12.75" customHeight="1">
      <c r="A21" s="13" t="s">
        <v>55</v>
      </c>
      <c r="B21" s="3">
        <v>30627</v>
      </c>
      <c r="C21" s="3">
        <v>5057</v>
      </c>
      <c r="D21" s="3">
        <v>3262</v>
      </c>
      <c r="E21" s="3">
        <v>115</v>
      </c>
      <c r="F21" s="3">
        <v>3993</v>
      </c>
      <c r="G21" s="3">
        <v>336</v>
      </c>
      <c r="H21" s="3">
        <v>254</v>
      </c>
      <c r="I21" s="3">
        <v>112</v>
      </c>
      <c r="J21" s="3">
        <v>2582</v>
      </c>
      <c r="K21" s="14">
        <v>3030</v>
      </c>
    </row>
    <row r="22" spans="1:11" ht="12.75" customHeight="1">
      <c r="A22" s="13" t="s">
        <v>56</v>
      </c>
      <c r="B22" s="3">
        <v>24780</v>
      </c>
      <c r="C22" s="3">
        <v>90745</v>
      </c>
      <c r="D22" s="3">
        <v>9120</v>
      </c>
      <c r="E22" s="3">
        <v>10157</v>
      </c>
      <c r="F22" s="3">
        <v>12891</v>
      </c>
      <c r="G22" s="3">
        <v>21355</v>
      </c>
      <c r="H22" s="3">
        <v>7759</v>
      </c>
      <c r="I22" s="3">
        <v>712</v>
      </c>
      <c r="J22" s="3">
        <v>6576</v>
      </c>
      <c r="K22" s="14">
        <v>4865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57</v>
      </c>
      <c r="B24" s="4">
        <f aca="true" t="shared" si="3" ref="B24:K24">SUM(B5-B16)</f>
        <v>16976</v>
      </c>
      <c r="C24" s="4">
        <f t="shared" si="3"/>
        <v>116090</v>
      </c>
      <c r="D24" s="26">
        <f t="shared" si="3"/>
        <v>-185</v>
      </c>
      <c r="E24" s="26">
        <f t="shared" si="3"/>
        <v>10384</v>
      </c>
      <c r="F24" s="26">
        <f t="shared" si="3"/>
        <v>-407</v>
      </c>
      <c r="G24" s="26">
        <f t="shared" si="3"/>
        <v>-9855</v>
      </c>
      <c r="H24" s="26">
        <f t="shared" si="3"/>
        <v>20225</v>
      </c>
      <c r="I24" s="26">
        <f t="shared" si="3"/>
        <v>969</v>
      </c>
      <c r="J24" s="26">
        <f t="shared" si="3"/>
        <v>140</v>
      </c>
      <c r="K24" s="30">
        <f t="shared" si="3"/>
        <v>-2258</v>
      </c>
    </row>
    <row r="25" spans="1:11" ht="12.75" customHeight="1">
      <c r="A25" s="18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23" t="s">
        <v>58</v>
      </c>
      <c r="B26" s="4">
        <v>38981</v>
      </c>
      <c r="C26" s="4">
        <v>11441</v>
      </c>
      <c r="D26" s="26">
        <v>1029</v>
      </c>
      <c r="E26" s="4">
        <v>190</v>
      </c>
      <c r="F26" s="4">
        <v>282</v>
      </c>
      <c r="G26" s="4">
        <v>9496</v>
      </c>
      <c r="H26" s="4">
        <v>187</v>
      </c>
      <c r="I26" s="4">
        <v>12</v>
      </c>
      <c r="J26" s="4">
        <v>784</v>
      </c>
      <c r="K26" s="15">
        <v>252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59</v>
      </c>
      <c r="B28" s="4">
        <v>3776</v>
      </c>
      <c r="C28" s="4">
        <v>35351</v>
      </c>
      <c r="D28" s="4">
        <v>3002</v>
      </c>
      <c r="E28" s="4">
        <v>1043</v>
      </c>
      <c r="F28" s="4">
        <v>4244</v>
      </c>
      <c r="G28" s="4">
        <v>2543</v>
      </c>
      <c r="H28" s="4">
        <v>3400</v>
      </c>
      <c r="I28" s="4">
        <v>467</v>
      </c>
      <c r="J28" s="4">
        <v>267</v>
      </c>
      <c r="K28" s="15">
        <v>1874</v>
      </c>
    </row>
    <row r="29" spans="1:11" ht="12.75" customHeight="1">
      <c r="A29" s="11"/>
      <c r="B29" s="4"/>
      <c r="C29" s="4"/>
      <c r="D29" s="4"/>
      <c r="E29" s="4"/>
      <c r="F29" s="4"/>
      <c r="G29" s="4"/>
      <c r="H29" s="4"/>
      <c r="I29" s="4"/>
      <c r="J29" s="4"/>
      <c r="K29" s="15"/>
    </row>
    <row r="30" spans="1:11" ht="12.75" customHeight="1">
      <c r="A30" s="11" t="s">
        <v>62</v>
      </c>
      <c r="B30" s="26">
        <f>SUM(B26-B28)</f>
        <v>35205</v>
      </c>
      <c r="C30" s="26">
        <f>SUM(C26-C28)</f>
        <v>-23910</v>
      </c>
      <c r="D30" s="26">
        <f aca="true" t="shared" si="4" ref="D30:K30">SUM(D26-D28)</f>
        <v>-1973</v>
      </c>
      <c r="E30" s="26">
        <f t="shared" si="4"/>
        <v>-853</v>
      </c>
      <c r="F30" s="26">
        <f t="shared" si="4"/>
        <v>-3962</v>
      </c>
      <c r="G30" s="26">
        <f t="shared" si="4"/>
        <v>6953</v>
      </c>
      <c r="H30" s="26">
        <f t="shared" si="4"/>
        <v>-3213</v>
      </c>
      <c r="I30" s="26">
        <f t="shared" si="4"/>
        <v>-455</v>
      </c>
      <c r="J30" s="26">
        <f t="shared" si="4"/>
        <v>517</v>
      </c>
      <c r="K30" s="30">
        <f t="shared" si="4"/>
        <v>-1622</v>
      </c>
    </row>
    <row r="31" spans="1:11" ht="12.75" customHeight="1">
      <c r="A31" s="13"/>
      <c r="B31" s="3"/>
      <c r="C31" s="3"/>
      <c r="D31" s="3"/>
      <c r="E31" s="3"/>
      <c r="F31" s="3"/>
      <c r="G31" s="3"/>
      <c r="H31" s="3"/>
      <c r="I31" s="3"/>
      <c r="J31" s="3"/>
      <c r="K31" s="14"/>
    </row>
    <row r="32" spans="1:11" ht="12.75" customHeight="1">
      <c r="A32" s="11" t="s">
        <v>60</v>
      </c>
      <c r="B32" s="4">
        <v>185</v>
      </c>
      <c r="C32" s="4">
        <v>0</v>
      </c>
      <c r="D32" s="4">
        <v>12</v>
      </c>
      <c r="E32" s="4">
        <v>0</v>
      </c>
      <c r="F32" s="4">
        <v>2</v>
      </c>
      <c r="G32" s="4">
        <v>641</v>
      </c>
      <c r="H32" s="4">
        <v>28</v>
      </c>
      <c r="I32" s="4">
        <v>0</v>
      </c>
      <c r="J32" s="4">
        <v>1408</v>
      </c>
      <c r="K32" s="15">
        <v>1266</v>
      </c>
    </row>
    <row r="33" spans="1:11" ht="12.75" customHeight="1">
      <c r="A33" s="11"/>
      <c r="B33" s="4"/>
      <c r="C33" s="4"/>
      <c r="D33" s="4"/>
      <c r="E33" s="4"/>
      <c r="F33" s="4"/>
      <c r="G33" s="4"/>
      <c r="H33" s="4"/>
      <c r="I33" s="4"/>
      <c r="J33" s="4"/>
      <c r="K33" s="15"/>
    </row>
    <row r="34" spans="1:11" ht="12.75" customHeight="1">
      <c r="A34" s="11" t="s">
        <v>61</v>
      </c>
      <c r="B34" s="4">
        <v>238</v>
      </c>
      <c r="C34" s="4">
        <v>5765</v>
      </c>
      <c r="D34" s="4">
        <v>265</v>
      </c>
      <c r="E34" s="4">
        <v>331</v>
      </c>
      <c r="F34" s="4">
        <v>135</v>
      </c>
      <c r="G34" s="4">
        <v>800</v>
      </c>
      <c r="H34" s="4">
        <v>1833</v>
      </c>
      <c r="I34" s="4">
        <v>16</v>
      </c>
      <c r="J34" s="4">
        <v>76</v>
      </c>
      <c r="K34" s="15">
        <v>735</v>
      </c>
    </row>
    <row r="35" spans="1:11" ht="12.75" customHeight="1">
      <c r="A35" s="11"/>
      <c r="B35" s="4"/>
      <c r="C35" s="4"/>
      <c r="D35" s="4"/>
      <c r="E35" s="4"/>
      <c r="F35" s="4"/>
      <c r="G35" s="4"/>
      <c r="H35" s="4"/>
      <c r="I35" s="4"/>
      <c r="J35" s="4"/>
      <c r="K35" s="15"/>
    </row>
    <row r="36" spans="1:11" ht="12.75" customHeight="1">
      <c r="A36" s="11" t="s">
        <v>63</v>
      </c>
      <c r="B36" s="26">
        <f>B32-B34</f>
        <v>-53</v>
      </c>
      <c r="C36" s="26">
        <f>C32-C34</f>
        <v>-5765</v>
      </c>
      <c r="D36" s="26">
        <f aca="true" t="shared" si="5" ref="D36:K36">D32-D34</f>
        <v>-253</v>
      </c>
      <c r="E36" s="26">
        <f t="shared" si="5"/>
        <v>-331</v>
      </c>
      <c r="F36" s="26">
        <f t="shared" si="5"/>
        <v>-133</v>
      </c>
      <c r="G36" s="26">
        <f t="shared" si="5"/>
        <v>-159</v>
      </c>
      <c r="H36" s="26">
        <f t="shared" si="5"/>
        <v>-1805</v>
      </c>
      <c r="I36" s="26">
        <f t="shared" si="5"/>
        <v>-16</v>
      </c>
      <c r="J36" s="26">
        <f t="shared" si="5"/>
        <v>1332</v>
      </c>
      <c r="K36" s="30">
        <f t="shared" si="5"/>
        <v>531</v>
      </c>
    </row>
    <row r="37" spans="1:11" ht="12.75" customHeight="1">
      <c r="A37" s="13"/>
      <c r="B37" s="3"/>
      <c r="C37" s="3"/>
      <c r="D37" s="3"/>
      <c r="E37" s="3"/>
      <c r="F37" s="3"/>
      <c r="G37" s="3"/>
      <c r="H37" s="3"/>
      <c r="I37" s="3"/>
      <c r="J37" s="3"/>
      <c r="K37" s="14"/>
    </row>
    <row r="38" spans="1:11" ht="12.75" customHeight="1" thickBot="1">
      <c r="A38" s="20" t="s">
        <v>64</v>
      </c>
      <c r="B38" s="21">
        <f>SUM(B24+B26+B32-B28-B34)</f>
        <v>52128</v>
      </c>
      <c r="C38" s="21">
        <f>SUM(C24+C26+C32-C28-C34)</f>
        <v>86415</v>
      </c>
      <c r="D38" s="27">
        <f aca="true" t="shared" si="6" ref="D38:K38">SUM(D24+D26+D32-D28-D34)</f>
        <v>-2411</v>
      </c>
      <c r="E38" s="27">
        <f t="shared" si="6"/>
        <v>9200</v>
      </c>
      <c r="F38" s="27">
        <f t="shared" si="6"/>
        <v>-4502</v>
      </c>
      <c r="G38" s="27">
        <f t="shared" si="6"/>
        <v>-3061</v>
      </c>
      <c r="H38" s="27">
        <f t="shared" si="6"/>
        <v>15207</v>
      </c>
      <c r="I38" s="27">
        <f t="shared" si="6"/>
        <v>498</v>
      </c>
      <c r="J38" s="27">
        <f t="shared" si="6"/>
        <v>1989</v>
      </c>
      <c r="K38" s="31">
        <f t="shared" si="6"/>
        <v>-3349</v>
      </c>
    </row>
    <row r="39" spans="1:9" ht="16.5" customHeight="1">
      <c r="A39" s="152" t="s">
        <v>101</v>
      </c>
      <c r="B39" s="152"/>
      <c r="C39" s="152"/>
      <c r="D39" s="152"/>
      <c r="E39" s="152"/>
      <c r="F39" s="152"/>
      <c r="G39" s="152"/>
      <c r="H39" s="152"/>
      <c r="I39" s="48"/>
    </row>
    <row r="40" spans="1:5" ht="15.75" thickBot="1">
      <c r="A40" s="1"/>
      <c r="B40" s="1"/>
      <c r="C40" s="40"/>
      <c r="D40" s="32" t="s">
        <v>13</v>
      </c>
      <c r="E40" s="2"/>
    </row>
    <row r="41" spans="1:5" ht="21">
      <c r="A41" s="10"/>
      <c r="B41" s="57" t="s">
        <v>10</v>
      </c>
      <c r="C41" s="56" t="s">
        <v>11</v>
      </c>
      <c r="D41" s="58" t="s">
        <v>12</v>
      </c>
      <c r="E41" s="6"/>
    </row>
    <row r="42" spans="1:7" ht="12.75" customHeight="1">
      <c r="A42" s="11" t="s">
        <v>43</v>
      </c>
      <c r="B42" s="5">
        <f>SUM(B44+B48+B49+B51)</f>
        <v>1736536</v>
      </c>
      <c r="C42" s="5">
        <f>SUM(C44+C48+C49+C51)</f>
        <v>375648</v>
      </c>
      <c r="D42" s="12">
        <f>SUM(D44+D48+D49+D51)</f>
        <v>221647</v>
      </c>
      <c r="E42" s="7"/>
      <c r="G42" s="43"/>
    </row>
    <row r="43" spans="1:5" ht="12.75" customHeight="1">
      <c r="A43" s="13"/>
      <c r="B43" s="3"/>
      <c r="C43" s="3"/>
      <c r="D43" s="14"/>
      <c r="E43" s="8"/>
    </row>
    <row r="44" spans="1:5" ht="12.75" customHeight="1">
      <c r="A44" s="11" t="s">
        <v>44</v>
      </c>
      <c r="B44" s="4">
        <f>SUM(B45:B46)</f>
        <v>1704898</v>
      </c>
      <c r="C44" s="4">
        <f>SUM(C45:C46)</f>
        <v>373110</v>
      </c>
      <c r="D44" s="15">
        <f>SUM(D45:D46)</f>
        <v>221647</v>
      </c>
      <c r="E44" s="8"/>
    </row>
    <row r="45" spans="1:5" ht="12.75" customHeight="1">
      <c r="A45" s="13" t="s">
        <v>45</v>
      </c>
      <c r="B45" s="3">
        <v>1532735</v>
      </c>
      <c r="C45" s="3">
        <v>373110</v>
      </c>
      <c r="D45" s="14">
        <v>221647</v>
      </c>
      <c r="E45" s="8"/>
    </row>
    <row r="46" spans="1:5" ht="12.75" customHeight="1">
      <c r="A46" s="13" t="s">
        <v>46</v>
      </c>
      <c r="B46" s="3">
        <v>172163</v>
      </c>
      <c r="C46" s="3">
        <v>0</v>
      </c>
      <c r="D46" s="14">
        <v>0</v>
      </c>
      <c r="E46" s="8"/>
    </row>
    <row r="47" spans="1:5" ht="12.75" customHeight="1">
      <c r="A47" s="13"/>
      <c r="B47" s="3"/>
      <c r="C47" s="3"/>
      <c r="D47" s="14"/>
      <c r="E47" s="8"/>
    </row>
    <row r="48" spans="1:5" ht="12.75" customHeight="1">
      <c r="A48" s="13" t="s">
        <v>47</v>
      </c>
      <c r="B48" s="3">
        <v>0</v>
      </c>
      <c r="C48" s="3">
        <v>0</v>
      </c>
      <c r="D48" s="14">
        <v>0</v>
      </c>
      <c r="E48" s="8"/>
    </row>
    <row r="49" spans="1:5" ht="12.75" customHeight="1">
      <c r="A49" s="13" t="s">
        <v>48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 t="s">
        <v>49</v>
      </c>
      <c r="B50" s="3">
        <v>0</v>
      </c>
      <c r="C50" s="3">
        <v>0</v>
      </c>
      <c r="D50" s="14">
        <v>0</v>
      </c>
      <c r="E50" s="8"/>
    </row>
    <row r="51" spans="1:5" ht="12.75" customHeight="1">
      <c r="A51" s="13" t="s">
        <v>50</v>
      </c>
      <c r="B51" s="3">
        <v>31638</v>
      </c>
      <c r="C51" s="3">
        <v>2538</v>
      </c>
      <c r="D51" s="14">
        <v>0</v>
      </c>
      <c r="E51" s="9"/>
    </row>
    <row r="52" spans="1:5" ht="12.75" customHeight="1">
      <c r="A52" s="13"/>
      <c r="B52" s="3"/>
      <c r="C52" s="3"/>
      <c r="D52" s="14"/>
      <c r="E52" s="8"/>
    </row>
    <row r="53" spans="1:5" ht="12.75" customHeight="1">
      <c r="A53" s="11" t="s">
        <v>51</v>
      </c>
      <c r="B53" s="4">
        <f>SUM(B55:B59)</f>
        <v>1523919</v>
      </c>
      <c r="C53" s="4">
        <f>SUM(C55:C59)</f>
        <v>371865</v>
      </c>
      <c r="D53" s="15">
        <f>SUM(D55:D59)</f>
        <v>198741</v>
      </c>
      <c r="E53" s="8"/>
    </row>
    <row r="54" spans="1:5" ht="12.75" customHeight="1">
      <c r="A54" s="13"/>
      <c r="B54" s="3"/>
      <c r="C54" s="3"/>
      <c r="D54" s="14"/>
      <c r="E54" s="8"/>
    </row>
    <row r="55" spans="1:5" ht="12.75" customHeight="1">
      <c r="A55" s="13" t="s">
        <v>52</v>
      </c>
      <c r="B55" s="3">
        <v>1196590</v>
      </c>
      <c r="C55" s="3">
        <v>289394</v>
      </c>
      <c r="D55" s="14">
        <v>146964</v>
      </c>
      <c r="E55" s="8"/>
    </row>
    <row r="56" spans="1:5" ht="12.75" customHeight="1">
      <c r="A56" s="13" t="s">
        <v>53</v>
      </c>
      <c r="B56" s="3">
        <v>31566</v>
      </c>
      <c r="C56" s="3">
        <v>0</v>
      </c>
      <c r="D56" s="14">
        <v>1095</v>
      </c>
      <c r="E56" s="8"/>
    </row>
    <row r="57" spans="1:5" ht="12.75" customHeight="1">
      <c r="A57" s="13" t="s">
        <v>54</v>
      </c>
      <c r="B57" s="3">
        <f>160716+11369</f>
        <v>172085</v>
      </c>
      <c r="C57" s="3">
        <v>44559</v>
      </c>
      <c r="D57" s="14">
        <v>24537</v>
      </c>
      <c r="E57" s="8"/>
    </row>
    <row r="58" spans="1:5" ht="12.75" customHeight="1">
      <c r="A58" s="13" t="s">
        <v>55</v>
      </c>
      <c r="B58" s="3">
        <v>6033</v>
      </c>
      <c r="C58" s="3">
        <v>1718</v>
      </c>
      <c r="D58" s="14">
        <v>2670</v>
      </c>
      <c r="E58" s="8"/>
    </row>
    <row r="59" spans="1:5" ht="12.75" customHeight="1">
      <c r="A59" s="13" t="s">
        <v>56</v>
      </c>
      <c r="B59" s="3">
        <f>74523+43122</f>
        <v>117645</v>
      </c>
      <c r="C59" s="3">
        <f>15581+20613</f>
        <v>36194</v>
      </c>
      <c r="D59" s="14">
        <f>12145+9951+1379</f>
        <v>23475</v>
      </c>
      <c r="E59" s="8"/>
    </row>
    <row r="60" spans="1:5" ht="12.75" customHeight="1">
      <c r="A60" s="13"/>
      <c r="B60" s="3"/>
      <c r="C60" s="3"/>
      <c r="D60" s="14"/>
      <c r="E60" s="8"/>
    </row>
    <row r="61" spans="1:5" ht="12.75" customHeight="1">
      <c r="A61" s="11" t="s">
        <v>57</v>
      </c>
      <c r="B61" s="4">
        <f>SUM(B42-B53)</f>
        <v>212617</v>
      </c>
      <c r="C61" s="26">
        <f>SUM(C42-C53)</f>
        <v>3783</v>
      </c>
      <c r="D61" s="15">
        <f>SUM(D42-D53)</f>
        <v>22906</v>
      </c>
      <c r="E61" s="8"/>
    </row>
    <row r="62" spans="1:5" ht="12.75" customHeight="1">
      <c r="A62" s="18"/>
      <c r="B62" s="3"/>
      <c r="C62" s="3"/>
      <c r="D62" s="14"/>
      <c r="E62" s="8"/>
    </row>
    <row r="63" spans="1:5" ht="12.75" customHeight="1">
      <c r="A63" s="23" t="s">
        <v>58</v>
      </c>
      <c r="B63" s="4">
        <v>35478</v>
      </c>
      <c r="C63" s="4">
        <v>2672</v>
      </c>
      <c r="D63" s="15">
        <v>97</v>
      </c>
      <c r="E63" s="9"/>
    </row>
    <row r="64" spans="1:5" ht="12.75" customHeight="1">
      <c r="A64" s="17"/>
      <c r="B64" s="3"/>
      <c r="C64" s="3"/>
      <c r="D64" s="14"/>
      <c r="E64" s="8"/>
    </row>
    <row r="65" spans="1:5" ht="12.75" customHeight="1">
      <c r="A65" s="11" t="s">
        <v>59</v>
      </c>
      <c r="B65" s="4">
        <v>25607</v>
      </c>
      <c r="C65" s="4">
        <v>6968</v>
      </c>
      <c r="D65" s="15">
        <v>147</v>
      </c>
      <c r="E65" s="8"/>
    </row>
    <row r="66" spans="1:7" ht="12.75" customHeight="1">
      <c r="A66" s="11"/>
      <c r="B66" s="3"/>
      <c r="C66" s="3"/>
      <c r="D66" s="14"/>
      <c r="E66" s="8"/>
      <c r="G66" s="43"/>
    </row>
    <row r="67" spans="1:5" ht="12.75" customHeight="1">
      <c r="A67" s="11" t="s">
        <v>62</v>
      </c>
      <c r="B67" s="26">
        <f>SUM(B63-B65)</f>
        <v>9871</v>
      </c>
      <c r="C67" s="26">
        <f>SUM(C63-C65)</f>
        <v>-4296</v>
      </c>
      <c r="D67" s="30">
        <f>SUM(D63-D65)</f>
        <v>-50</v>
      </c>
      <c r="E67" s="8"/>
    </row>
    <row r="68" spans="1:5" ht="12.75" customHeight="1">
      <c r="A68" s="13"/>
      <c r="B68" s="3"/>
      <c r="C68" s="3"/>
      <c r="D68" s="14"/>
      <c r="E68" s="8"/>
    </row>
    <row r="69" spans="1:5" ht="12.75" customHeight="1">
      <c r="A69" s="11" t="s">
        <v>60</v>
      </c>
      <c r="B69" s="4">
        <v>468</v>
      </c>
      <c r="C69" s="4">
        <v>1379</v>
      </c>
      <c r="D69" s="15">
        <v>892</v>
      </c>
      <c r="E69" s="9"/>
    </row>
    <row r="70" spans="1:5" ht="12.75" customHeight="1">
      <c r="A70" s="11"/>
      <c r="B70" s="3"/>
      <c r="C70" s="3"/>
      <c r="D70" s="14"/>
      <c r="E70" s="8"/>
    </row>
    <row r="71" spans="1:5" ht="12.75" customHeight="1">
      <c r="A71" s="11" t="s">
        <v>61</v>
      </c>
      <c r="B71" s="28">
        <v>10257</v>
      </c>
      <c r="C71" s="28">
        <v>0</v>
      </c>
      <c r="D71" s="29">
        <v>23005</v>
      </c>
      <c r="E71" s="9"/>
    </row>
    <row r="72" spans="1:4" ht="12.75">
      <c r="A72" s="11"/>
      <c r="B72" s="45"/>
      <c r="C72" s="45"/>
      <c r="D72" s="46"/>
    </row>
    <row r="73" spans="1:4" ht="12.75">
      <c r="A73" s="11" t="s">
        <v>63</v>
      </c>
      <c r="B73" s="26">
        <f>SUM(B69-B71)</f>
        <v>-9789</v>
      </c>
      <c r="C73" s="26">
        <f>SUM(C69-C71)</f>
        <v>1379</v>
      </c>
      <c r="D73" s="30">
        <f>SUM(D69-D71)</f>
        <v>-22113</v>
      </c>
    </row>
    <row r="74" spans="1:4" ht="12.75">
      <c r="A74" s="13"/>
      <c r="B74" s="45"/>
      <c r="C74" s="45"/>
      <c r="D74" s="46"/>
    </row>
    <row r="75" spans="1:4" ht="13.5" thickBot="1">
      <c r="A75" s="20" t="s">
        <v>64</v>
      </c>
      <c r="B75" s="27">
        <f>B61+B63+B69-B65-B71</f>
        <v>212699</v>
      </c>
      <c r="C75" s="27">
        <f>C61+C63+C69-C65-C71</f>
        <v>866</v>
      </c>
      <c r="D75" s="31">
        <f>D61+D63+D69-D65-D71</f>
        <v>743</v>
      </c>
    </row>
    <row r="77" ht="12.75">
      <c r="B77" s="43"/>
    </row>
  </sheetData>
  <mergeCells count="3">
    <mergeCell ref="A1:H1"/>
    <mergeCell ref="A2:H2"/>
    <mergeCell ref="A39:H39"/>
  </mergeCells>
  <printOptions/>
  <pageMargins left="0.75" right="0.75" top="0.47" bottom="1" header="0.27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3">
      <selection activeCell="B4" sqref="B4:K4"/>
    </sheetView>
  </sheetViews>
  <sheetFormatPr defaultColWidth="9.140625" defaultRowHeight="12.75"/>
  <cols>
    <col min="1" max="1" width="32.8515625" style="39" customWidth="1"/>
    <col min="2" max="2" width="10.7109375" style="39" customWidth="1"/>
    <col min="3" max="3" width="9.8515625" style="39" customWidth="1"/>
    <col min="4" max="4" width="9.57421875" style="39" customWidth="1"/>
    <col min="5" max="5" width="9.140625" style="39" customWidth="1"/>
    <col min="6" max="6" width="9.421875" style="39" customWidth="1"/>
    <col min="7" max="8" width="9.28125" style="39" customWidth="1"/>
    <col min="9" max="9" width="9.14062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9" ht="14.25" customHeight="1">
      <c r="A1" s="152" t="s">
        <v>104</v>
      </c>
      <c r="B1" s="152"/>
      <c r="C1" s="152"/>
      <c r="D1" s="152"/>
      <c r="E1" s="152"/>
      <c r="F1" s="152"/>
      <c r="G1" s="152"/>
      <c r="H1" s="152"/>
      <c r="I1" s="48"/>
    </row>
    <row r="2" spans="1:9" ht="14.25" customHeight="1">
      <c r="A2" s="153"/>
      <c r="B2" s="153"/>
      <c r="C2" s="153"/>
      <c r="D2" s="153"/>
      <c r="E2" s="153"/>
      <c r="F2" s="153"/>
      <c r="G2" s="153"/>
      <c r="H2" s="153"/>
      <c r="I2" s="49"/>
    </row>
    <row r="3" spans="1:11" ht="16.5" customHeight="1" thickBot="1">
      <c r="A3" s="1"/>
      <c r="B3" s="1"/>
      <c r="C3" s="40"/>
      <c r="D3" s="40"/>
      <c r="E3" s="2"/>
      <c r="F3" s="41"/>
      <c r="G3" s="41"/>
      <c r="H3" s="41"/>
      <c r="I3" s="41"/>
      <c r="K3" s="42" t="s">
        <v>0</v>
      </c>
    </row>
    <row r="4" spans="1:11" ht="16.5" customHeight="1">
      <c r="A4" s="10"/>
      <c r="B4" s="55" t="s">
        <v>1</v>
      </c>
      <c r="C4" s="56" t="s">
        <v>2</v>
      </c>
      <c r="D4" s="56" t="s">
        <v>3</v>
      </c>
      <c r="E4" s="56" t="s">
        <v>4</v>
      </c>
      <c r="F4" s="56" t="s">
        <v>5</v>
      </c>
      <c r="G4" s="56" t="s">
        <v>6</v>
      </c>
      <c r="H4" s="56" t="s">
        <v>7</v>
      </c>
      <c r="I4" s="56" t="s">
        <v>95</v>
      </c>
      <c r="J4" s="56" t="s">
        <v>8</v>
      </c>
      <c r="K4" s="58" t="s">
        <v>9</v>
      </c>
    </row>
    <row r="5" spans="1:11" ht="12.75" customHeight="1">
      <c r="A5" s="11" t="s">
        <v>20</v>
      </c>
      <c r="B5" s="5">
        <f>SUM(B7+B12+B20)</f>
        <v>3248622</v>
      </c>
      <c r="C5" s="5">
        <f>SUM(C7+C12+C20)</f>
        <v>2470323</v>
      </c>
      <c r="D5" s="5">
        <f>SUM(D7+D12+D20)</f>
        <v>229860</v>
      </c>
      <c r="E5" s="5">
        <f>SUM(E7+E12+E20)</f>
        <v>133620</v>
      </c>
      <c r="F5" s="5">
        <f>SUM(F7+F12+F20)</f>
        <v>278348</v>
      </c>
      <c r="G5" s="5">
        <f>SUM(G7+G12)</f>
        <v>392862</v>
      </c>
      <c r="H5" s="5">
        <f>SUM(H7+H12)</f>
        <v>261666</v>
      </c>
      <c r="I5" s="5">
        <f>SUM(I7+I12)</f>
        <v>30455</v>
      </c>
      <c r="J5" s="5">
        <f>SUM(J7+J12)</f>
        <v>412222</v>
      </c>
      <c r="K5" s="12">
        <f>SUM(K7+K12)</f>
        <v>405856</v>
      </c>
    </row>
    <row r="6" spans="1:11" ht="12.75" customHeight="1">
      <c r="A6" s="13"/>
      <c r="B6" s="3"/>
      <c r="C6" s="3"/>
      <c r="D6" s="3"/>
      <c r="E6" s="3"/>
      <c r="F6" s="3"/>
      <c r="G6" s="3"/>
      <c r="H6" s="3"/>
      <c r="I6" s="3"/>
      <c r="J6" s="3"/>
      <c r="K6" s="14"/>
    </row>
    <row r="7" spans="1:11" ht="12.75" customHeight="1">
      <c r="A7" s="11" t="s">
        <v>14</v>
      </c>
      <c r="B7" s="4">
        <f>SUM(B8:B10)</f>
        <v>2628942</v>
      </c>
      <c r="C7" s="4">
        <f aca="true" t="shared" si="0" ref="C7:K7">SUM(C8:C10)</f>
        <v>116808</v>
      </c>
      <c r="D7" s="4">
        <f>SUM(D8:D10)</f>
        <v>72772</v>
      </c>
      <c r="E7" s="4">
        <f t="shared" si="0"/>
        <v>3211</v>
      </c>
      <c r="F7" s="4">
        <f t="shared" si="0"/>
        <v>70660</v>
      </c>
      <c r="G7" s="4">
        <f t="shared" si="0"/>
        <v>5094</v>
      </c>
      <c r="H7" s="4">
        <f t="shared" si="0"/>
        <v>3562</v>
      </c>
      <c r="I7" s="4">
        <f t="shared" si="0"/>
        <v>2041</v>
      </c>
      <c r="J7" s="4">
        <f t="shared" si="0"/>
        <v>116793</v>
      </c>
      <c r="K7" s="15">
        <f t="shared" si="0"/>
        <v>281195</v>
      </c>
    </row>
    <row r="8" spans="1:11" ht="12.75" customHeight="1">
      <c r="A8" s="13" t="s">
        <v>18</v>
      </c>
      <c r="B8" s="3">
        <f>1445+687613+592945</f>
        <v>1282003</v>
      </c>
      <c r="C8" s="3">
        <f>209+116599</f>
        <v>116808</v>
      </c>
      <c r="D8" s="3">
        <v>72772</v>
      </c>
      <c r="E8" s="3">
        <f>269+2942</f>
        <v>3211</v>
      </c>
      <c r="F8" s="3">
        <f>9+70651</f>
        <v>70660</v>
      </c>
      <c r="G8" s="3">
        <f>3+5091</f>
        <v>5094</v>
      </c>
      <c r="H8" s="3">
        <v>3562</v>
      </c>
      <c r="I8" s="3">
        <v>2041</v>
      </c>
      <c r="J8" s="3">
        <v>116065</v>
      </c>
      <c r="K8" s="14">
        <f>184643+98+95864</f>
        <v>280605</v>
      </c>
    </row>
    <row r="9" spans="1:11" ht="12.75" customHeight="1">
      <c r="A9" s="13" t="s">
        <v>19</v>
      </c>
      <c r="B9" s="3">
        <v>641248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14">
        <v>0</v>
      </c>
    </row>
    <row r="10" spans="1:11" ht="12.75" customHeight="1">
      <c r="A10" s="13" t="s">
        <v>36</v>
      </c>
      <c r="B10" s="50">
        <f>704868+823</f>
        <v>705691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728</v>
      </c>
      <c r="K10" s="14">
        <v>590</v>
      </c>
    </row>
    <row r="11" spans="1:11" ht="12.75" customHeight="1">
      <c r="A11" s="13"/>
      <c r="B11" s="3"/>
      <c r="C11" s="3"/>
      <c r="D11" s="3"/>
      <c r="E11" s="3"/>
      <c r="F11" s="3"/>
      <c r="G11" s="3"/>
      <c r="H11" s="3"/>
      <c r="I11" s="3"/>
      <c r="J11" s="3"/>
      <c r="K11" s="14"/>
    </row>
    <row r="12" spans="1:11" ht="12.75" customHeight="1">
      <c r="A12" s="11" t="s">
        <v>15</v>
      </c>
      <c r="B12" s="4">
        <f aca="true" t="shared" si="1" ref="B12:K12">SUM(B13:B18)</f>
        <v>619680</v>
      </c>
      <c r="C12" s="4">
        <f t="shared" si="1"/>
        <v>2353515</v>
      </c>
      <c r="D12" s="4">
        <f t="shared" si="1"/>
        <v>157088</v>
      </c>
      <c r="E12" s="4">
        <f t="shared" si="1"/>
        <v>130409</v>
      </c>
      <c r="F12" s="4">
        <f t="shared" si="1"/>
        <v>207688</v>
      </c>
      <c r="G12" s="4">
        <f t="shared" si="1"/>
        <v>387768</v>
      </c>
      <c r="H12" s="4">
        <f t="shared" si="1"/>
        <v>258104</v>
      </c>
      <c r="I12" s="4">
        <f t="shared" si="1"/>
        <v>28414</v>
      </c>
      <c r="J12" s="4">
        <f t="shared" si="1"/>
        <v>295429</v>
      </c>
      <c r="K12" s="15">
        <f t="shared" si="1"/>
        <v>124661</v>
      </c>
    </row>
    <row r="13" spans="1:11" ht="12.75" customHeight="1">
      <c r="A13" s="13" t="s">
        <v>40</v>
      </c>
      <c r="B13" s="3">
        <v>5831</v>
      </c>
      <c r="C13" s="3">
        <v>705929</v>
      </c>
      <c r="D13" s="3">
        <v>94115</v>
      </c>
      <c r="E13" s="3">
        <v>40366</v>
      </c>
      <c r="F13" s="3">
        <v>85214</v>
      </c>
      <c r="G13" s="3">
        <v>206003</v>
      </c>
      <c r="H13" s="3">
        <v>92554</v>
      </c>
      <c r="I13" s="3">
        <v>18485</v>
      </c>
      <c r="J13" s="3">
        <v>53161</v>
      </c>
      <c r="K13" s="14">
        <v>83953</v>
      </c>
    </row>
    <row r="14" spans="1:11" ht="12.75" customHeight="1">
      <c r="A14" s="13" t="s">
        <v>37</v>
      </c>
      <c r="B14" s="3">
        <v>357938</v>
      </c>
      <c r="C14" s="3">
        <v>938488</v>
      </c>
      <c r="D14" s="3">
        <v>41586</v>
      </c>
      <c r="E14" s="3">
        <v>87360</v>
      </c>
      <c r="F14" s="3">
        <v>78676</v>
      </c>
      <c r="G14" s="3">
        <v>5039</v>
      </c>
      <c r="H14" s="3">
        <v>140871</v>
      </c>
      <c r="I14" s="3">
        <v>8177</v>
      </c>
      <c r="J14" s="3">
        <v>166414</v>
      </c>
      <c r="K14" s="14">
        <v>15205</v>
      </c>
    </row>
    <row r="15" spans="1:11" ht="12.75" customHeight="1">
      <c r="A15" s="13" t="s">
        <v>39</v>
      </c>
      <c r="B15" s="3">
        <v>241318</v>
      </c>
      <c r="C15" s="3">
        <v>0</v>
      </c>
      <c r="D15" s="3">
        <v>0</v>
      </c>
      <c r="E15" s="3">
        <v>0</v>
      </c>
      <c r="F15" s="3">
        <v>0</v>
      </c>
      <c r="G15" s="3">
        <v>142491</v>
      </c>
      <c r="H15" s="3">
        <v>0</v>
      </c>
      <c r="I15" s="3">
        <v>0</v>
      </c>
      <c r="J15" s="3">
        <v>68574</v>
      </c>
      <c r="K15" s="14">
        <v>2291</v>
      </c>
    </row>
    <row r="16" spans="1:11" ht="12.75" customHeight="1">
      <c r="A16" s="13" t="s">
        <v>38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14">
        <v>0</v>
      </c>
    </row>
    <row r="17" spans="1:11" ht="12.75" customHeight="1">
      <c r="A17" s="13" t="s">
        <v>41</v>
      </c>
      <c r="B17" s="3">
        <f>1479+5496</f>
        <v>6975</v>
      </c>
      <c r="C17" s="3">
        <f>12321+21891</f>
        <v>34212</v>
      </c>
      <c r="D17" s="3">
        <f>1729+4407</f>
        <v>6136</v>
      </c>
      <c r="E17" s="3">
        <f>306+334</f>
        <v>640</v>
      </c>
      <c r="F17" s="3">
        <f>1+2074</f>
        <v>2075</v>
      </c>
      <c r="G17" s="3">
        <f>2897+4922</f>
        <v>7819</v>
      </c>
      <c r="H17" s="3">
        <f>3198+4697</f>
        <v>7895</v>
      </c>
      <c r="I17" s="3">
        <v>30</v>
      </c>
      <c r="J17" s="3">
        <v>297</v>
      </c>
      <c r="K17" s="14">
        <f>8616+2875</f>
        <v>11491</v>
      </c>
    </row>
    <row r="18" spans="1:11" ht="12.75" customHeight="1">
      <c r="A18" s="16" t="s">
        <v>42</v>
      </c>
      <c r="B18" s="3">
        <v>7618</v>
      </c>
      <c r="C18" s="3">
        <v>674886</v>
      </c>
      <c r="D18" s="3">
        <v>15251</v>
      </c>
      <c r="E18" s="3">
        <v>2043</v>
      </c>
      <c r="F18" s="3">
        <v>41723</v>
      </c>
      <c r="G18" s="3">
        <v>26416</v>
      </c>
      <c r="H18" s="3">
        <v>16784</v>
      </c>
      <c r="I18" s="3">
        <v>1722</v>
      </c>
      <c r="J18" s="3">
        <v>6983</v>
      </c>
      <c r="K18" s="14">
        <v>11721</v>
      </c>
    </row>
    <row r="19" spans="1:11" ht="12.75" customHeight="1">
      <c r="A19" s="13"/>
      <c r="B19" s="3"/>
      <c r="C19" s="3"/>
      <c r="D19" s="3"/>
      <c r="E19" s="3"/>
      <c r="F19" s="3"/>
      <c r="G19" s="4"/>
      <c r="H19" s="4"/>
      <c r="I19" s="4"/>
      <c r="J19" s="4"/>
      <c r="K19" s="15"/>
    </row>
    <row r="20" spans="1:11" ht="12.75" customHeight="1">
      <c r="A20" s="1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15">
        <v>0</v>
      </c>
    </row>
    <row r="21" spans="1:11" ht="12.75" customHeight="1">
      <c r="A21" s="17"/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1" t="s">
        <v>21</v>
      </c>
      <c r="B22" s="4">
        <f>SUM(B24+B31+B36+B41)</f>
        <v>3248622</v>
      </c>
      <c r="C22" s="4">
        <f aca="true" t="shared" si="2" ref="C22:K22">SUM(C24+C31+C36+C41)</f>
        <v>2470323</v>
      </c>
      <c r="D22" s="4">
        <f>SUM(D24+D31+D36+D41)</f>
        <v>229860</v>
      </c>
      <c r="E22" s="4">
        <f t="shared" si="2"/>
        <v>133620</v>
      </c>
      <c r="F22" s="4">
        <f t="shared" si="2"/>
        <v>278348</v>
      </c>
      <c r="G22" s="4">
        <f t="shared" si="2"/>
        <v>392862</v>
      </c>
      <c r="H22" s="4">
        <f>SUM(H24+H31+H36+H41)</f>
        <v>261666</v>
      </c>
      <c r="I22" s="4">
        <f>SUM(I24+I31+I36+I41)</f>
        <v>30455</v>
      </c>
      <c r="J22" s="4">
        <f t="shared" si="2"/>
        <v>412222</v>
      </c>
      <c r="K22" s="15">
        <f t="shared" si="2"/>
        <v>405856</v>
      </c>
    </row>
    <row r="23" spans="1:11" ht="12.75" customHeight="1">
      <c r="A23" s="13"/>
      <c r="B23" s="3"/>
      <c r="C23" s="3"/>
      <c r="D23" s="3"/>
      <c r="E23" s="3"/>
      <c r="F23" s="3"/>
      <c r="G23" s="3"/>
      <c r="H23" s="3"/>
      <c r="I23" s="3"/>
      <c r="J23" s="3"/>
      <c r="K23" s="14"/>
    </row>
    <row r="24" spans="1:11" ht="12.75" customHeight="1">
      <c r="A24" s="11" t="s">
        <v>16</v>
      </c>
      <c r="B24" s="4">
        <f aca="true" t="shared" si="3" ref="B24:K24">SUM(B25:B29)</f>
        <v>2579247</v>
      </c>
      <c r="C24" s="4">
        <f t="shared" si="3"/>
        <v>789024</v>
      </c>
      <c r="D24" s="4">
        <f t="shared" si="3"/>
        <v>15508</v>
      </c>
      <c r="E24" s="4">
        <f t="shared" si="3"/>
        <v>36820</v>
      </c>
      <c r="F24" s="4">
        <f t="shared" si="3"/>
        <v>24798</v>
      </c>
      <c r="G24" s="4">
        <f t="shared" si="3"/>
        <v>45188</v>
      </c>
      <c r="H24" s="4">
        <f t="shared" si="3"/>
        <v>183772</v>
      </c>
      <c r="I24" s="4">
        <f t="shared" si="3"/>
        <v>5170</v>
      </c>
      <c r="J24" s="4">
        <f t="shared" si="3"/>
        <v>212346</v>
      </c>
      <c r="K24" s="15">
        <f t="shared" si="3"/>
        <v>218542</v>
      </c>
    </row>
    <row r="25" spans="1:11" ht="12.75" customHeight="1">
      <c r="A25" s="13" t="s">
        <v>22</v>
      </c>
      <c r="B25" s="3">
        <v>408000</v>
      </c>
      <c r="C25" s="3">
        <v>225194</v>
      </c>
      <c r="D25" s="3">
        <v>22895</v>
      </c>
      <c r="E25" s="3">
        <v>9380</v>
      </c>
      <c r="F25" s="3">
        <v>72684</v>
      </c>
      <c r="G25" s="3">
        <v>124071</v>
      </c>
      <c r="H25" s="3">
        <v>263</v>
      </c>
      <c r="I25" s="3">
        <v>289</v>
      </c>
      <c r="J25" s="3">
        <v>118694</v>
      </c>
      <c r="K25" s="14">
        <v>77182</v>
      </c>
    </row>
    <row r="26" spans="1:11" ht="12.75" customHeight="1">
      <c r="A26" s="13" t="s">
        <v>23</v>
      </c>
      <c r="B26" s="3">
        <f>33899+4256</f>
        <v>38155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14">
        <v>75</v>
      </c>
    </row>
    <row r="27" spans="1:11" ht="12.75" customHeight="1">
      <c r="A27" s="13" t="s">
        <v>24</v>
      </c>
      <c r="B27" s="3">
        <f>2025458+17423</f>
        <v>2042881</v>
      </c>
      <c r="C27" s="3">
        <v>563830</v>
      </c>
      <c r="D27" s="3">
        <v>0</v>
      </c>
      <c r="E27" s="3">
        <v>27440</v>
      </c>
      <c r="F27" s="3">
        <v>276</v>
      </c>
      <c r="G27" s="3">
        <v>0</v>
      </c>
      <c r="H27" s="3">
        <v>183105</v>
      </c>
      <c r="I27" s="3">
        <v>4873</v>
      </c>
      <c r="J27" s="3">
        <v>93652</v>
      </c>
      <c r="K27" s="14">
        <v>457</v>
      </c>
    </row>
    <row r="28" spans="1:11" ht="12.75" customHeight="1">
      <c r="A28" s="13" t="s">
        <v>32</v>
      </c>
      <c r="B28" s="3">
        <v>90211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404</v>
      </c>
      <c r="I28" s="3">
        <v>8</v>
      </c>
      <c r="J28" s="3">
        <v>0</v>
      </c>
      <c r="K28" s="14">
        <v>144177</v>
      </c>
    </row>
    <row r="29" spans="1:11" ht="12.75" customHeight="1">
      <c r="A29" s="13" t="s">
        <v>25</v>
      </c>
      <c r="B29" s="3">
        <v>0</v>
      </c>
      <c r="C29" s="3">
        <v>0</v>
      </c>
      <c r="D29" s="24">
        <v>-7387</v>
      </c>
      <c r="E29" s="24">
        <v>0</v>
      </c>
      <c r="F29" s="24">
        <v>-48162</v>
      </c>
      <c r="G29" s="24">
        <v>-78883</v>
      </c>
      <c r="H29" s="3">
        <v>0</v>
      </c>
      <c r="I29" s="3">
        <v>0</v>
      </c>
      <c r="J29" s="3">
        <v>0</v>
      </c>
      <c r="K29" s="35">
        <v>-3349</v>
      </c>
    </row>
    <row r="30" spans="1:11" ht="12.75" customHeight="1">
      <c r="A30" s="13"/>
      <c r="B30" s="3"/>
      <c r="C30" s="3"/>
      <c r="D30" s="3"/>
      <c r="E30" s="3"/>
      <c r="F30" s="3"/>
      <c r="G30" s="3"/>
      <c r="H30" s="3"/>
      <c r="I30" s="3"/>
      <c r="J30" s="3"/>
      <c r="K30" s="14"/>
    </row>
    <row r="31" spans="1:11" ht="12.75" customHeight="1">
      <c r="A31" s="11" t="s">
        <v>17</v>
      </c>
      <c r="B31" s="4">
        <f aca="true" t="shared" si="4" ref="B31:K31">SUM(B32:B34)</f>
        <v>555423</v>
      </c>
      <c r="C31" s="4">
        <f t="shared" si="4"/>
        <v>521468</v>
      </c>
      <c r="D31" s="4">
        <f t="shared" si="4"/>
        <v>116277</v>
      </c>
      <c r="E31" s="4">
        <f t="shared" si="4"/>
        <v>3084</v>
      </c>
      <c r="F31" s="4">
        <f t="shared" si="4"/>
        <v>145496</v>
      </c>
      <c r="G31" s="4">
        <f t="shared" si="4"/>
        <v>8797</v>
      </c>
      <c r="H31" s="4">
        <f t="shared" si="4"/>
        <v>23364</v>
      </c>
      <c r="I31" s="4">
        <f t="shared" si="4"/>
        <v>0</v>
      </c>
      <c r="J31" s="4">
        <f t="shared" si="4"/>
        <v>19909</v>
      </c>
      <c r="K31" s="15">
        <f t="shared" si="4"/>
        <v>12071</v>
      </c>
    </row>
    <row r="32" spans="1:11" ht="12.75" customHeight="1">
      <c r="A32" s="18" t="s">
        <v>26</v>
      </c>
      <c r="B32" s="3">
        <v>47464</v>
      </c>
      <c r="C32" s="3">
        <v>40564</v>
      </c>
      <c r="D32" s="3">
        <v>775</v>
      </c>
      <c r="E32" s="3">
        <v>3084</v>
      </c>
      <c r="F32" s="3">
        <v>12408</v>
      </c>
      <c r="G32" s="3">
        <v>8797</v>
      </c>
      <c r="H32" s="3">
        <v>1532</v>
      </c>
      <c r="I32" s="3">
        <v>0</v>
      </c>
      <c r="J32" s="3">
        <v>14797</v>
      </c>
      <c r="K32" s="14">
        <v>12071</v>
      </c>
    </row>
    <row r="33" spans="1:11" ht="12.75" customHeight="1">
      <c r="A33" s="19" t="s">
        <v>27</v>
      </c>
      <c r="B33" s="3">
        <v>507959</v>
      </c>
      <c r="C33" s="3">
        <v>0</v>
      </c>
      <c r="D33" s="3">
        <v>46458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5112</v>
      </c>
      <c r="K33" s="14">
        <v>0</v>
      </c>
    </row>
    <row r="34" spans="1:11" ht="12.75" customHeight="1">
      <c r="A34" s="18" t="s">
        <v>35</v>
      </c>
      <c r="B34" s="3">
        <v>0</v>
      </c>
      <c r="C34" s="3">
        <v>480904</v>
      </c>
      <c r="D34" s="3">
        <v>69044</v>
      </c>
      <c r="E34" s="3">
        <v>0</v>
      </c>
      <c r="F34" s="3">
        <v>133088</v>
      </c>
      <c r="G34" s="3">
        <v>0</v>
      </c>
      <c r="H34" s="3">
        <v>21832</v>
      </c>
      <c r="I34" s="3">
        <v>0</v>
      </c>
      <c r="J34" s="3">
        <v>0</v>
      </c>
      <c r="K34" s="14">
        <v>0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28</v>
      </c>
      <c r="B36" s="4">
        <f>SUM(B37:B39)</f>
        <v>82004</v>
      </c>
      <c r="C36" s="4">
        <f aca="true" t="shared" si="5" ref="C36:K36">SUM(C37:C39)</f>
        <v>1158666</v>
      </c>
      <c r="D36" s="4">
        <f>SUM(D37:D39)</f>
        <v>96958</v>
      </c>
      <c r="E36" s="4">
        <f t="shared" si="5"/>
        <v>93645</v>
      </c>
      <c r="F36" s="4">
        <f t="shared" si="5"/>
        <v>106690</v>
      </c>
      <c r="G36" s="4">
        <f t="shared" si="5"/>
        <v>338786</v>
      </c>
      <c r="H36" s="4">
        <f>SUM(H37:H39)</f>
        <v>54516</v>
      </c>
      <c r="I36" s="4">
        <f>SUM(I37:I39)</f>
        <v>25285</v>
      </c>
      <c r="J36" s="4">
        <f t="shared" si="5"/>
        <v>178397</v>
      </c>
      <c r="K36" s="15">
        <f t="shared" si="5"/>
        <v>170066</v>
      </c>
    </row>
    <row r="37" spans="1:11" ht="12.75" customHeight="1">
      <c r="A37" s="13" t="s">
        <v>33</v>
      </c>
      <c r="B37" s="3">
        <v>0</v>
      </c>
      <c r="C37" s="3">
        <v>641285</v>
      </c>
      <c r="D37" s="3">
        <v>10000</v>
      </c>
      <c r="E37" s="3">
        <v>26600</v>
      </c>
      <c r="F37" s="3">
        <v>0</v>
      </c>
      <c r="G37" s="3">
        <v>58400</v>
      </c>
      <c r="H37" s="3">
        <v>37159</v>
      </c>
      <c r="I37" s="3">
        <v>16151</v>
      </c>
      <c r="J37" s="3">
        <v>37058</v>
      </c>
      <c r="K37" s="14">
        <v>61871</v>
      </c>
    </row>
    <row r="38" spans="1:11" ht="12.75" customHeight="1">
      <c r="A38" s="13" t="s">
        <v>29</v>
      </c>
      <c r="B38" s="3">
        <v>21488</v>
      </c>
      <c r="C38" s="3">
        <v>462821</v>
      </c>
      <c r="D38" s="3">
        <v>82444</v>
      </c>
      <c r="E38" s="3">
        <v>61982</v>
      </c>
      <c r="F38" s="3">
        <v>100867</v>
      </c>
      <c r="G38" s="3">
        <v>250172</v>
      </c>
      <c r="H38" s="3">
        <v>13583</v>
      </c>
      <c r="I38" s="3">
        <v>6692</v>
      </c>
      <c r="J38" s="3">
        <v>134829</v>
      </c>
      <c r="K38" s="14">
        <v>98026</v>
      </c>
    </row>
    <row r="39" spans="1:11" ht="12.75" customHeight="1">
      <c r="A39" s="13" t="s">
        <v>30</v>
      </c>
      <c r="B39" s="3">
        <f>48631+11885</f>
        <v>60516</v>
      </c>
      <c r="C39" s="3">
        <f>54204+356</f>
        <v>54560</v>
      </c>
      <c r="D39" s="3">
        <f>4485+29</f>
        <v>4514</v>
      </c>
      <c r="E39" s="3">
        <f>4562+501</f>
        <v>5063</v>
      </c>
      <c r="F39" s="3">
        <f>4834+989</f>
        <v>5823</v>
      </c>
      <c r="G39" s="3">
        <f>30064+150</f>
        <v>30214</v>
      </c>
      <c r="H39" s="3">
        <f>2551+1223</f>
        <v>3774</v>
      </c>
      <c r="I39" s="3">
        <f>2216+226</f>
        <v>2442</v>
      </c>
      <c r="J39" s="3">
        <f>5241+1269</f>
        <v>6510</v>
      </c>
      <c r="K39" s="14">
        <f>125+7107+2937</f>
        <v>10169</v>
      </c>
    </row>
    <row r="40" spans="1:11" ht="12.75" customHeight="1">
      <c r="A40" s="13"/>
      <c r="B40" s="3"/>
      <c r="C40" s="3"/>
      <c r="D40" s="3"/>
      <c r="E40" s="3"/>
      <c r="F40" s="3"/>
      <c r="G40" s="3"/>
      <c r="H40" s="3"/>
      <c r="I40" s="3"/>
      <c r="J40" s="3"/>
      <c r="K40" s="14"/>
    </row>
    <row r="41" spans="1:11" ht="12.75" customHeight="1" thickBot="1">
      <c r="A41" s="20" t="s">
        <v>31</v>
      </c>
      <c r="B41" s="21">
        <v>31948</v>
      </c>
      <c r="C41" s="21">
        <v>1165</v>
      </c>
      <c r="D41" s="21">
        <v>1117</v>
      </c>
      <c r="E41" s="21">
        <v>71</v>
      </c>
      <c r="F41" s="21">
        <v>1364</v>
      </c>
      <c r="G41" s="21">
        <v>91</v>
      </c>
      <c r="H41" s="21">
        <v>14</v>
      </c>
      <c r="I41" s="21">
        <v>0</v>
      </c>
      <c r="J41" s="21">
        <v>1570</v>
      </c>
      <c r="K41" s="22">
        <v>5177</v>
      </c>
    </row>
    <row r="42" spans="1:9" ht="16.5" customHeight="1">
      <c r="A42" s="152" t="s">
        <v>105</v>
      </c>
      <c r="B42" s="152"/>
      <c r="C42" s="152"/>
      <c r="D42" s="152"/>
      <c r="E42" s="152"/>
      <c r="F42" s="152"/>
      <c r="G42" s="152"/>
      <c r="H42" s="152"/>
      <c r="I42" s="48"/>
    </row>
    <row r="43" spans="1:5" ht="15.75" thickBot="1">
      <c r="A43" s="1"/>
      <c r="B43" s="1"/>
      <c r="C43" s="40"/>
      <c r="D43" s="2" t="s">
        <v>13</v>
      </c>
      <c r="E43" s="2"/>
    </row>
    <row r="44" spans="1:5" ht="21">
      <c r="A44" s="10"/>
      <c r="B44" s="57" t="s">
        <v>10</v>
      </c>
      <c r="C44" s="56" t="s">
        <v>11</v>
      </c>
      <c r="D44" s="58" t="s">
        <v>12</v>
      </c>
      <c r="E44" s="54"/>
    </row>
    <row r="45" spans="1:5" ht="12.75" customHeight="1">
      <c r="A45" s="11" t="s">
        <v>20</v>
      </c>
      <c r="B45" s="5">
        <f>SUM(B47+B51+B58)</f>
        <v>2098745</v>
      </c>
      <c r="C45" s="5">
        <f>SUM(C47+C51+C58)</f>
        <v>789607</v>
      </c>
      <c r="D45" s="12">
        <f>SUM(D47+D51+D58)</f>
        <v>806208</v>
      </c>
      <c r="E45" s="7"/>
    </row>
    <row r="46" spans="1:5" ht="12.75" customHeight="1">
      <c r="A46" s="13"/>
      <c r="B46" s="3"/>
      <c r="C46" s="3"/>
      <c r="D46" s="14"/>
      <c r="E46" s="8"/>
    </row>
    <row r="47" spans="1:5" ht="12.75" customHeight="1">
      <c r="A47" s="11" t="s">
        <v>14</v>
      </c>
      <c r="B47" s="4">
        <f>SUM(B48:B49)</f>
        <v>37408</v>
      </c>
      <c r="C47" s="4">
        <f>SUM(C48:C49)</f>
        <v>20950</v>
      </c>
      <c r="D47" s="15">
        <f>SUM(D48:D49)</f>
        <v>11083</v>
      </c>
      <c r="E47" s="8"/>
    </row>
    <row r="48" spans="1:5" ht="12.75" customHeight="1">
      <c r="A48" s="13" t="s">
        <v>18</v>
      </c>
      <c r="B48" s="3">
        <f>36995+413</f>
        <v>37408</v>
      </c>
      <c r="C48" s="3">
        <v>20950</v>
      </c>
      <c r="D48" s="14">
        <v>11083</v>
      </c>
      <c r="E48" s="8"/>
    </row>
    <row r="49" spans="1:5" ht="12.75" customHeight="1">
      <c r="A49" s="13" t="s">
        <v>19</v>
      </c>
      <c r="B49" s="3">
        <v>0</v>
      </c>
      <c r="C49" s="3">
        <v>0</v>
      </c>
      <c r="D49" s="14">
        <v>0</v>
      </c>
      <c r="E49" s="8"/>
    </row>
    <row r="50" spans="1:5" ht="12.75" customHeight="1">
      <c r="A50" s="13"/>
      <c r="B50" s="3"/>
      <c r="C50" s="3"/>
      <c r="D50" s="14"/>
      <c r="E50" s="8"/>
    </row>
    <row r="51" spans="1:5" ht="12.75" customHeight="1">
      <c r="A51" s="11" t="s">
        <v>15</v>
      </c>
      <c r="B51" s="4">
        <f>SUM(B52:B56)</f>
        <v>2061337</v>
      </c>
      <c r="C51" s="4">
        <f>SUM(C52:C56)</f>
        <v>768657</v>
      </c>
      <c r="D51" s="15">
        <f>SUM(D52:D56)</f>
        <v>795125</v>
      </c>
      <c r="E51" s="8"/>
    </row>
    <row r="52" spans="1:5" ht="12.75" customHeight="1">
      <c r="A52" s="13" t="s">
        <v>40</v>
      </c>
      <c r="B52" s="3">
        <f>282205+97505</f>
        <v>379710</v>
      </c>
      <c r="C52" s="3">
        <v>287362</v>
      </c>
      <c r="D52" s="14">
        <v>177365</v>
      </c>
      <c r="E52" s="8"/>
    </row>
    <row r="53" spans="1:5" ht="12.75" customHeight="1">
      <c r="A53" s="13" t="s">
        <v>37</v>
      </c>
      <c r="B53" s="3">
        <f>9887+937804+76827</f>
        <v>1024518</v>
      </c>
      <c r="C53" s="3">
        <v>309119</v>
      </c>
      <c r="D53" s="14">
        <v>602374</v>
      </c>
      <c r="E53" s="8"/>
    </row>
    <row r="54" spans="1:5" ht="12.75" customHeight="1">
      <c r="A54" s="13" t="s">
        <v>39</v>
      </c>
      <c r="B54" s="3">
        <v>0</v>
      </c>
      <c r="C54" s="3">
        <v>155791</v>
      </c>
      <c r="D54" s="14">
        <v>0</v>
      </c>
      <c r="E54" s="9"/>
    </row>
    <row r="55" spans="1:5" ht="12.75" customHeight="1">
      <c r="A55" s="13" t="s">
        <v>41</v>
      </c>
      <c r="B55" s="3">
        <f>1987+175706</f>
        <v>177693</v>
      </c>
      <c r="C55" s="3">
        <v>909</v>
      </c>
      <c r="D55" s="14">
        <v>8467</v>
      </c>
      <c r="E55" s="8"/>
    </row>
    <row r="56" spans="1:5" ht="12.75" customHeight="1">
      <c r="A56" s="16" t="s">
        <v>42</v>
      </c>
      <c r="B56" s="3">
        <v>479416</v>
      </c>
      <c r="C56" s="3">
        <v>15476</v>
      </c>
      <c r="D56" s="14">
        <v>6919</v>
      </c>
      <c r="E56" s="8"/>
    </row>
    <row r="57" spans="1:5" ht="12.75" customHeight="1">
      <c r="A57" s="13"/>
      <c r="B57" s="3"/>
      <c r="C57" s="3"/>
      <c r="D57" s="14"/>
      <c r="E57" s="8"/>
    </row>
    <row r="58" spans="1:5" ht="12.75" customHeight="1">
      <c r="A58" s="11" t="s">
        <v>34</v>
      </c>
      <c r="B58" s="4"/>
      <c r="C58" s="4">
        <v>0</v>
      </c>
      <c r="D58" s="15">
        <v>0</v>
      </c>
      <c r="E58" s="8"/>
    </row>
    <row r="59" spans="1:5" ht="12.75" customHeight="1">
      <c r="A59" s="17"/>
      <c r="B59" s="3"/>
      <c r="C59" s="3"/>
      <c r="D59" s="14"/>
      <c r="E59" s="8"/>
    </row>
    <row r="60" spans="1:5" ht="12.75" customHeight="1">
      <c r="A60" s="11" t="s">
        <v>21</v>
      </c>
      <c r="B60" s="4">
        <f>SUM(B62+B69+B73+B78)</f>
        <v>2098745</v>
      </c>
      <c r="C60" s="4">
        <f>SUM(C62+C69+C73+C78)</f>
        <v>789607</v>
      </c>
      <c r="D60" s="15">
        <f>SUM(D62+D69+D73+D78)</f>
        <v>806208</v>
      </c>
      <c r="E60" s="8"/>
    </row>
    <row r="61" spans="1:5" ht="12.75" customHeight="1">
      <c r="A61" s="13"/>
      <c r="B61" s="3"/>
      <c r="C61" s="3"/>
      <c r="D61" s="14"/>
      <c r="E61" s="8"/>
    </row>
    <row r="62" spans="1:5" ht="12.75" customHeight="1">
      <c r="A62" s="11" t="s">
        <v>16</v>
      </c>
      <c r="B62" s="4">
        <f>SUM(B63:B67)</f>
        <v>1014935</v>
      </c>
      <c r="C62" s="4">
        <f>SUM(C63:C67)</f>
        <v>179180</v>
      </c>
      <c r="D62" s="15">
        <f>SUM(D63:D67)</f>
        <v>14091</v>
      </c>
      <c r="E62" s="8"/>
    </row>
    <row r="63" spans="1:5" ht="12.75" customHeight="1">
      <c r="A63" s="13" t="s">
        <v>22</v>
      </c>
      <c r="B63" s="3">
        <v>250</v>
      </c>
      <c r="C63" s="3">
        <v>17000</v>
      </c>
      <c r="D63" s="14">
        <v>33862</v>
      </c>
      <c r="E63" s="8"/>
    </row>
    <row r="64" spans="1:5" ht="12.75" customHeight="1">
      <c r="A64" s="13" t="s">
        <v>23</v>
      </c>
      <c r="B64" s="3">
        <v>0</v>
      </c>
      <c r="C64" s="3">
        <v>0</v>
      </c>
      <c r="D64" s="14">
        <v>0</v>
      </c>
      <c r="E64" s="8"/>
    </row>
    <row r="65" spans="1:5" ht="12.75" customHeight="1">
      <c r="A65" s="13" t="s">
        <v>24</v>
      </c>
      <c r="B65" s="3">
        <v>1014685</v>
      </c>
      <c r="C65" s="3">
        <v>162180</v>
      </c>
      <c r="D65" s="14">
        <v>743</v>
      </c>
      <c r="E65" s="8"/>
    </row>
    <row r="66" spans="1:5" ht="12.75" customHeight="1">
      <c r="A66" s="13" t="s">
        <v>32</v>
      </c>
      <c r="B66" s="3">
        <v>0</v>
      </c>
      <c r="C66" s="3">
        <v>0</v>
      </c>
      <c r="D66" s="14">
        <v>0</v>
      </c>
      <c r="E66" s="9"/>
    </row>
    <row r="67" spans="1:5" ht="12.75" customHeight="1">
      <c r="A67" s="13" t="s">
        <v>25</v>
      </c>
      <c r="B67" s="24">
        <v>0</v>
      </c>
      <c r="C67" s="3">
        <v>0</v>
      </c>
      <c r="D67" s="35">
        <v>-20514</v>
      </c>
      <c r="E67" s="8"/>
    </row>
    <row r="68" spans="1:5" ht="12.75" customHeight="1">
      <c r="A68" s="13"/>
      <c r="B68" s="3"/>
      <c r="C68" s="3"/>
      <c r="D68" s="14"/>
      <c r="E68" s="8"/>
    </row>
    <row r="69" spans="1:7" ht="12.75" customHeight="1">
      <c r="A69" s="11" t="s">
        <v>17</v>
      </c>
      <c r="B69" s="4">
        <f>SUM(B70:B71)</f>
        <v>0</v>
      </c>
      <c r="C69" s="4">
        <f>SUM(C70:C71)</f>
        <v>0</v>
      </c>
      <c r="D69" s="15">
        <f>SUM(D70:D71)</f>
        <v>0</v>
      </c>
      <c r="E69" s="8"/>
      <c r="G69" s="43"/>
    </row>
    <row r="70" spans="1:5" ht="12.75" customHeight="1">
      <c r="A70" s="18" t="s">
        <v>26</v>
      </c>
      <c r="B70" s="3">
        <v>0</v>
      </c>
      <c r="C70" s="3">
        <v>0</v>
      </c>
      <c r="D70" s="14">
        <v>0</v>
      </c>
      <c r="E70" s="8"/>
    </row>
    <row r="71" spans="1:5" ht="12.75" customHeight="1">
      <c r="A71" s="19" t="s">
        <v>27</v>
      </c>
      <c r="B71" s="3">
        <v>0</v>
      </c>
      <c r="C71" s="3">
        <v>0</v>
      </c>
      <c r="D71" s="14">
        <v>0</v>
      </c>
      <c r="E71" s="8"/>
    </row>
    <row r="72" spans="1:5" ht="12.75" customHeight="1">
      <c r="A72" s="17"/>
      <c r="B72" s="3"/>
      <c r="C72" s="3"/>
      <c r="D72" s="14"/>
      <c r="E72" s="9"/>
    </row>
    <row r="73" spans="1:5" ht="12.75" customHeight="1">
      <c r="A73" s="11" t="s">
        <v>28</v>
      </c>
      <c r="B73" s="4">
        <f>SUM(B74:B76)</f>
        <v>1083810</v>
      </c>
      <c r="C73" s="4">
        <f>SUM(C74:C76)</f>
        <v>610427</v>
      </c>
      <c r="D73" s="15">
        <f>SUM(D74:D76)</f>
        <v>792117</v>
      </c>
      <c r="E73" s="8"/>
    </row>
    <row r="74" spans="1:5" ht="12.75" customHeight="1">
      <c r="A74" s="13" t="s">
        <v>33</v>
      </c>
      <c r="B74" s="3">
        <v>0</v>
      </c>
      <c r="C74" s="3">
        <v>0</v>
      </c>
      <c r="D74" s="14">
        <v>2574</v>
      </c>
      <c r="E74" s="9"/>
    </row>
    <row r="75" spans="1:5" ht="12.75" customHeight="1">
      <c r="A75" s="13" t="s">
        <v>29</v>
      </c>
      <c r="B75" s="3">
        <f>897315+10440+3934</f>
        <v>911689</v>
      </c>
      <c r="C75" s="3">
        <v>590725</v>
      </c>
      <c r="D75" s="14">
        <v>778953</v>
      </c>
      <c r="E75" s="8"/>
    </row>
    <row r="76" spans="1:5" ht="12.75" customHeight="1">
      <c r="A76" s="13" t="s">
        <v>30</v>
      </c>
      <c r="B76" s="3">
        <f>42429+129692</f>
        <v>172121</v>
      </c>
      <c r="C76" s="3">
        <f>14558+5144</f>
        <v>19702</v>
      </c>
      <c r="D76" s="14">
        <v>10590</v>
      </c>
      <c r="E76" s="9"/>
    </row>
    <row r="77" spans="1:5" ht="12.75" customHeight="1">
      <c r="A77" s="13"/>
      <c r="B77" s="3"/>
      <c r="C77" s="3" t="s">
        <v>98</v>
      </c>
      <c r="D77" s="14"/>
      <c r="E77" s="9"/>
    </row>
    <row r="78" spans="1:5" ht="12.75" customHeight="1" thickBot="1">
      <c r="A78" s="20" t="s">
        <v>31</v>
      </c>
      <c r="B78" s="21">
        <v>0</v>
      </c>
      <c r="C78" s="21">
        <v>0</v>
      </c>
      <c r="D78" s="22">
        <v>0</v>
      </c>
      <c r="E78" s="9"/>
    </row>
  </sheetData>
  <mergeCells count="3">
    <mergeCell ref="A1:H1"/>
    <mergeCell ref="A2:H2"/>
    <mergeCell ref="A42:H42"/>
  </mergeCells>
  <printOptions/>
  <pageMargins left="0.67" right="0.32" top="0.4" bottom="0.39" header="0.18" footer="0.22"/>
  <pageSetup horizontalDpi="600" verticalDpi="600" orientation="landscape" paperSize="9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workbookViewId="0" topLeftCell="A1">
      <selection activeCell="B3" sqref="B3:K3"/>
    </sheetView>
  </sheetViews>
  <sheetFormatPr defaultColWidth="9.140625" defaultRowHeight="12.75"/>
  <cols>
    <col min="1" max="1" width="37.7109375" style="39" customWidth="1"/>
    <col min="2" max="2" width="11.421875" style="39" customWidth="1"/>
    <col min="3" max="3" width="9.7109375" style="39" customWidth="1"/>
    <col min="4" max="4" width="9.57421875" style="39" customWidth="1"/>
    <col min="5" max="5" width="9.28125" style="39" customWidth="1"/>
    <col min="6" max="6" width="9.57421875" style="39" customWidth="1"/>
    <col min="7" max="7" width="9.421875" style="39" customWidth="1"/>
    <col min="8" max="8" width="9.57421875" style="39" customWidth="1"/>
    <col min="9" max="9" width="8.421875" style="39" customWidth="1"/>
    <col min="10" max="10" width="12.28125" style="39" customWidth="1"/>
    <col min="11" max="11" width="10.7109375" style="39" customWidth="1"/>
    <col min="12" max="16384" width="9.140625" style="39" customWidth="1"/>
  </cols>
  <sheetData>
    <row r="1" spans="1:11" ht="14.25" customHeight="1">
      <c r="A1" s="152" t="s">
        <v>103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6.5" customHeight="1" thickBot="1">
      <c r="A2" s="1"/>
      <c r="B2" s="1"/>
      <c r="C2" s="40"/>
      <c r="D2" s="2"/>
      <c r="E2" s="41"/>
      <c r="F2" s="41"/>
      <c r="G2" s="41"/>
      <c r="H2" s="41"/>
      <c r="I2" s="41"/>
      <c r="K2" s="44" t="s">
        <v>0</v>
      </c>
    </row>
    <row r="3" spans="1:11" ht="16.5" customHeight="1">
      <c r="A3" s="10"/>
      <c r="B3" s="55" t="s">
        <v>1</v>
      </c>
      <c r="C3" s="56" t="s">
        <v>2</v>
      </c>
      <c r="D3" s="56" t="s">
        <v>3</v>
      </c>
      <c r="E3" s="56" t="s">
        <v>4</v>
      </c>
      <c r="F3" s="56" t="s">
        <v>5</v>
      </c>
      <c r="G3" s="56" t="s">
        <v>6</v>
      </c>
      <c r="H3" s="56" t="s">
        <v>7</v>
      </c>
      <c r="I3" s="56" t="s">
        <v>95</v>
      </c>
      <c r="J3" s="56" t="s">
        <v>8</v>
      </c>
      <c r="K3" s="58" t="s">
        <v>9</v>
      </c>
    </row>
    <row r="4" spans="1:11" ht="12.75" customHeight="1">
      <c r="A4" s="11" t="s">
        <v>65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 customHeight="1">
      <c r="A5" s="13" t="s">
        <v>66</v>
      </c>
      <c r="B5" s="3">
        <v>92784</v>
      </c>
      <c r="C5" s="3">
        <v>627830</v>
      </c>
      <c r="D5" s="3">
        <v>40511</v>
      </c>
      <c r="E5" s="3">
        <v>83264</v>
      </c>
      <c r="F5" s="3">
        <v>64746</v>
      </c>
      <c r="G5" s="3">
        <v>193673</v>
      </c>
      <c r="H5" s="3">
        <v>86142</v>
      </c>
      <c r="I5" s="3">
        <v>10092</v>
      </c>
      <c r="J5" s="3">
        <v>161776</v>
      </c>
      <c r="K5" s="14">
        <v>155185</v>
      </c>
    </row>
    <row r="6" spans="1:11" ht="12.75" customHeight="1">
      <c r="A6" s="13" t="s">
        <v>67</v>
      </c>
      <c r="B6" s="3"/>
      <c r="C6" s="3"/>
      <c r="D6" s="3"/>
      <c r="E6" s="3"/>
      <c r="F6" s="3"/>
      <c r="G6" s="3"/>
      <c r="H6" s="3"/>
      <c r="I6" s="3"/>
      <c r="J6" s="3">
        <v>774</v>
      </c>
      <c r="K6" s="14">
        <v>26</v>
      </c>
    </row>
    <row r="7" spans="1:11" ht="12.75" customHeight="1">
      <c r="A7" s="13" t="s">
        <v>68</v>
      </c>
      <c r="B7" s="3">
        <v>325</v>
      </c>
      <c r="C7" s="3">
        <v>13145</v>
      </c>
      <c r="D7" s="3">
        <v>3511</v>
      </c>
      <c r="E7" s="3">
        <v>23</v>
      </c>
      <c r="F7" s="3">
        <v>4423</v>
      </c>
      <c r="G7" s="3">
        <v>65</v>
      </c>
      <c r="H7" s="3">
        <v>17</v>
      </c>
      <c r="I7" s="3">
        <v>518</v>
      </c>
      <c r="J7" s="3">
        <v>5601</v>
      </c>
      <c r="K7" s="14">
        <v>10118</v>
      </c>
    </row>
    <row r="8" spans="1:11" ht="12.75" customHeight="1">
      <c r="A8" s="13" t="s">
        <v>69</v>
      </c>
      <c r="B8" s="24">
        <v>-101821</v>
      </c>
      <c r="C8" s="24">
        <v>-399922</v>
      </c>
      <c r="D8" s="24">
        <v>-30211</v>
      </c>
      <c r="E8" s="24">
        <v>-62065</v>
      </c>
      <c r="F8" s="24">
        <v>-42310</v>
      </c>
      <c r="G8" s="24">
        <v>-161789</v>
      </c>
      <c r="H8" s="24">
        <v>-71801</v>
      </c>
      <c r="I8" s="24">
        <v>-9991</v>
      </c>
      <c r="J8" s="24">
        <v>-143977</v>
      </c>
      <c r="K8" s="35">
        <v>-139567</v>
      </c>
    </row>
    <row r="9" spans="1:11" ht="12.75" customHeight="1">
      <c r="A9" s="13" t="s">
        <v>70</v>
      </c>
      <c r="B9" s="24">
        <v>-35601</v>
      </c>
      <c r="C9" s="24">
        <v>-97110</v>
      </c>
      <c r="D9" s="24">
        <v>-6181</v>
      </c>
      <c r="E9" s="24">
        <v>-10721</v>
      </c>
      <c r="F9" s="24">
        <v>-9781</v>
      </c>
      <c r="G9" s="24">
        <v>-17567</v>
      </c>
      <c r="H9" s="24">
        <v>-4320</v>
      </c>
      <c r="I9" s="24">
        <v>-2706</v>
      </c>
      <c r="J9" s="24">
        <v>-16152</v>
      </c>
      <c r="K9" s="35">
        <v>-19460</v>
      </c>
    </row>
    <row r="10" spans="1:11" ht="12.75" customHeight="1">
      <c r="A10" s="13" t="s">
        <v>71</v>
      </c>
      <c r="B10" s="24">
        <v>-1391</v>
      </c>
      <c r="C10" s="24">
        <v>-28482</v>
      </c>
      <c r="D10" s="24">
        <v>-1391</v>
      </c>
      <c r="E10" s="24">
        <v>-771</v>
      </c>
      <c r="F10" s="24">
        <v>-4285</v>
      </c>
      <c r="G10" s="24">
        <v>-1877</v>
      </c>
      <c r="H10" s="24">
        <v>-1967</v>
      </c>
      <c r="I10" s="24">
        <v>-268</v>
      </c>
      <c r="J10" s="24">
        <v>-274</v>
      </c>
      <c r="K10" s="35">
        <v>-1517</v>
      </c>
    </row>
    <row r="11" spans="1:11" ht="12.75" customHeight="1">
      <c r="A11" s="13" t="s">
        <v>72</v>
      </c>
      <c r="B11" s="24">
        <v>-3131</v>
      </c>
      <c r="C11" s="24">
        <v>-2640</v>
      </c>
      <c r="D11" s="24"/>
      <c r="E11" s="24">
        <v>-1600</v>
      </c>
      <c r="F11" s="24"/>
      <c r="G11" s="24"/>
      <c r="H11" s="24">
        <v>-1606</v>
      </c>
      <c r="I11" s="24">
        <v>-15</v>
      </c>
      <c r="J11" s="24">
        <v>-451</v>
      </c>
      <c r="K11" s="35"/>
    </row>
    <row r="12" spans="1:11" ht="12.75" customHeight="1">
      <c r="A12" s="13" t="s">
        <v>73</v>
      </c>
      <c r="B12" s="24">
        <v>-20029</v>
      </c>
      <c r="C12" s="24">
        <v>-607</v>
      </c>
      <c r="D12" s="24">
        <v>-848</v>
      </c>
      <c r="E12" s="24">
        <v>-2965</v>
      </c>
      <c r="F12" s="24">
        <v>-1414</v>
      </c>
      <c r="G12" s="24">
        <v>-2972</v>
      </c>
      <c r="H12" s="24">
        <v>-2704</v>
      </c>
      <c r="I12" s="24">
        <v>-1482</v>
      </c>
      <c r="J12" s="24">
        <v>-5645</v>
      </c>
      <c r="K12" s="35">
        <v>-4437</v>
      </c>
    </row>
    <row r="13" spans="1:11" ht="12.75" customHeight="1">
      <c r="A13" s="17"/>
      <c r="B13" s="3"/>
      <c r="C13" s="3"/>
      <c r="D13" s="3"/>
      <c r="E13" s="3"/>
      <c r="F13" s="3"/>
      <c r="G13" s="3"/>
      <c r="H13" s="3"/>
      <c r="I13" s="3"/>
      <c r="J13" s="3"/>
      <c r="K13" s="14"/>
    </row>
    <row r="14" spans="1:11" ht="12.75" customHeight="1">
      <c r="A14" s="11" t="s">
        <v>74</v>
      </c>
      <c r="B14" s="51">
        <f aca="true" t="shared" si="0" ref="B14:K14">SUM(B4:B13)</f>
        <v>-68864</v>
      </c>
      <c r="C14" s="51">
        <f t="shared" si="0"/>
        <v>112214</v>
      </c>
      <c r="D14" s="51">
        <f t="shared" si="0"/>
        <v>5391</v>
      </c>
      <c r="E14" s="51">
        <f t="shared" si="0"/>
        <v>5165</v>
      </c>
      <c r="F14" s="26">
        <f t="shared" si="0"/>
        <v>11379</v>
      </c>
      <c r="G14" s="26">
        <f t="shared" si="0"/>
        <v>9533</v>
      </c>
      <c r="H14" s="4">
        <f t="shared" si="0"/>
        <v>3761</v>
      </c>
      <c r="I14" s="51">
        <f t="shared" si="0"/>
        <v>-3852</v>
      </c>
      <c r="J14" s="4">
        <f t="shared" si="0"/>
        <v>1652</v>
      </c>
      <c r="K14" s="30">
        <f t="shared" si="0"/>
        <v>348</v>
      </c>
    </row>
    <row r="15" spans="1:11" ht="12.75" customHeight="1">
      <c r="A15" s="17"/>
      <c r="B15" s="3"/>
      <c r="C15" s="3"/>
      <c r="D15" s="3"/>
      <c r="E15" s="3"/>
      <c r="F15" s="3"/>
      <c r="G15" s="3"/>
      <c r="H15" s="3"/>
      <c r="I15" s="3"/>
      <c r="J15" s="3"/>
      <c r="K15" s="14"/>
    </row>
    <row r="16" spans="1:11" ht="12.75" customHeight="1">
      <c r="A16" s="11" t="s">
        <v>75</v>
      </c>
      <c r="B16" s="3"/>
      <c r="C16" s="3"/>
      <c r="D16" s="3"/>
      <c r="E16" s="3"/>
      <c r="F16" s="3"/>
      <c r="G16" s="3"/>
      <c r="H16" s="3"/>
      <c r="I16" s="3"/>
      <c r="J16" s="3"/>
      <c r="K16" s="14"/>
    </row>
    <row r="17" spans="1:11" ht="12.75" customHeight="1">
      <c r="A17" s="13" t="s">
        <v>76</v>
      </c>
      <c r="B17" s="3"/>
      <c r="C17" s="3"/>
      <c r="D17" s="3"/>
      <c r="E17" s="3"/>
      <c r="F17" s="3"/>
      <c r="G17" s="3"/>
      <c r="H17" s="3"/>
      <c r="I17" s="3"/>
      <c r="J17" s="3"/>
      <c r="K17" s="14"/>
    </row>
    <row r="18" spans="1:11" ht="12.75" customHeight="1">
      <c r="A18" s="13" t="s">
        <v>77</v>
      </c>
      <c r="B18" s="3"/>
      <c r="C18" s="3"/>
      <c r="D18" s="3"/>
      <c r="E18" s="3"/>
      <c r="F18" s="3"/>
      <c r="G18" s="3"/>
      <c r="H18" s="3"/>
      <c r="I18" s="3"/>
      <c r="J18" s="3">
        <v>29</v>
      </c>
      <c r="K18" s="14">
        <v>238</v>
      </c>
    </row>
    <row r="19" spans="1:11" ht="12.75" customHeight="1">
      <c r="A19" s="13" t="s">
        <v>78</v>
      </c>
      <c r="B19" s="24">
        <v>64727</v>
      </c>
      <c r="C19" s="3">
        <v>432543</v>
      </c>
      <c r="D19" s="3"/>
      <c r="E19" s="3"/>
      <c r="F19" s="3"/>
      <c r="G19" s="3"/>
      <c r="H19" s="3"/>
      <c r="I19" s="3"/>
      <c r="J19" s="24"/>
      <c r="K19" s="14"/>
    </row>
    <row r="20" spans="1:11" ht="12.75" customHeight="1">
      <c r="A20" s="13" t="s">
        <v>79</v>
      </c>
      <c r="B20" s="3">
        <v>29819</v>
      </c>
      <c r="C20" s="3">
        <v>1757</v>
      </c>
      <c r="D20" s="3">
        <v>6</v>
      </c>
      <c r="E20" s="3">
        <v>4</v>
      </c>
      <c r="F20" s="3">
        <v>218</v>
      </c>
      <c r="G20" s="3">
        <v>67</v>
      </c>
      <c r="H20" s="3">
        <v>16</v>
      </c>
      <c r="I20" s="3"/>
      <c r="J20" s="3"/>
      <c r="K20" s="14"/>
    </row>
    <row r="21" spans="1:11" ht="12.75" customHeight="1">
      <c r="A21" s="13" t="s">
        <v>80</v>
      </c>
      <c r="B21" s="3"/>
      <c r="C21" s="3"/>
      <c r="D21" s="3"/>
      <c r="E21" s="3"/>
      <c r="F21" s="3"/>
      <c r="G21" s="3"/>
      <c r="H21" s="3"/>
      <c r="I21" s="3"/>
      <c r="J21" s="3"/>
      <c r="K21" s="14"/>
    </row>
    <row r="22" spans="1:11" ht="12.75" customHeight="1">
      <c r="A22" s="13" t="s">
        <v>81</v>
      </c>
      <c r="B22" s="24">
        <v>-1899</v>
      </c>
      <c r="C22" s="3"/>
      <c r="D22" s="3"/>
      <c r="E22" s="3"/>
      <c r="F22" s="3"/>
      <c r="G22" s="3"/>
      <c r="H22" s="3"/>
      <c r="I22" s="3"/>
      <c r="J22" s="3"/>
      <c r="K22" s="14"/>
    </row>
    <row r="23" spans="1:11" ht="12.75" customHeight="1">
      <c r="A23" s="13" t="s">
        <v>82</v>
      </c>
      <c r="B23" s="24">
        <v>-3959</v>
      </c>
      <c r="C23" s="24">
        <v>-5650</v>
      </c>
      <c r="D23" s="24">
        <v>-130</v>
      </c>
      <c r="E23" s="24">
        <v>-1122</v>
      </c>
      <c r="F23" s="24">
        <v>-141</v>
      </c>
      <c r="G23" s="24"/>
      <c r="H23" s="24">
        <v>-82</v>
      </c>
      <c r="I23" s="24"/>
      <c r="J23" s="24">
        <v>-2470</v>
      </c>
      <c r="K23" s="35">
        <v>-2410</v>
      </c>
    </row>
    <row r="24" spans="1:11" ht="12.75" customHeight="1">
      <c r="A24" s="13" t="s">
        <v>99</v>
      </c>
      <c r="B24" s="24"/>
      <c r="C24" s="3"/>
      <c r="D24" s="3"/>
      <c r="E24" s="3"/>
      <c r="F24" s="3">
        <v>5274</v>
      </c>
      <c r="G24" s="3"/>
      <c r="H24" s="3"/>
      <c r="I24" s="3"/>
      <c r="J24" s="3"/>
      <c r="K24" s="35">
        <v>-304</v>
      </c>
    </row>
    <row r="25" spans="1:11" ht="12.75" customHeight="1">
      <c r="A25" s="17"/>
      <c r="B25" s="3"/>
      <c r="C25" s="3"/>
      <c r="D25" s="3"/>
      <c r="E25" s="3"/>
      <c r="F25" s="3"/>
      <c r="G25" s="3"/>
      <c r="H25" s="3"/>
      <c r="I25" s="3"/>
      <c r="J25" s="3"/>
      <c r="K25" s="14"/>
    </row>
    <row r="26" spans="1:11" ht="12.75" customHeight="1">
      <c r="A26" s="11" t="s">
        <v>84</v>
      </c>
      <c r="B26" s="51">
        <f aca="true" t="shared" si="1" ref="B26:I26">SUM(B16:B25)</f>
        <v>88688</v>
      </c>
      <c r="C26" s="36">
        <f t="shared" si="1"/>
        <v>428650</v>
      </c>
      <c r="D26" s="26">
        <f t="shared" si="1"/>
        <v>-124</v>
      </c>
      <c r="E26" s="51">
        <f t="shared" si="1"/>
        <v>-1118</v>
      </c>
      <c r="F26" s="36">
        <f t="shared" si="1"/>
        <v>5351</v>
      </c>
      <c r="G26" s="36">
        <f t="shared" si="1"/>
        <v>67</v>
      </c>
      <c r="H26" s="26">
        <f t="shared" si="1"/>
        <v>-66</v>
      </c>
      <c r="I26" s="26">
        <f t="shared" si="1"/>
        <v>0</v>
      </c>
      <c r="J26" s="36">
        <f>SUM(J17:J25)</f>
        <v>-2441</v>
      </c>
      <c r="K26" s="30">
        <f>SUM(K17:K24)</f>
        <v>-2476</v>
      </c>
    </row>
    <row r="27" spans="1:11" ht="12.75" customHeight="1">
      <c r="A27" s="17"/>
      <c r="B27" s="3"/>
      <c r="C27" s="3"/>
      <c r="D27" s="3"/>
      <c r="E27" s="3"/>
      <c r="F27" s="3"/>
      <c r="G27" s="3"/>
      <c r="H27" s="3"/>
      <c r="I27" s="3"/>
      <c r="J27" s="3"/>
      <c r="K27" s="14"/>
    </row>
    <row r="28" spans="1:11" ht="12.75" customHeight="1">
      <c r="A28" s="11" t="s">
        <v>85</v>
      </c>
      <c r="B28" s="3"/>
      <c r="C28" s="3"/>
      <c r="D28" s="3"/>
      <c r="E28" s="3"/>
      <c r="F28" s="3"/>
      <c r="G28" s="3"/>
      <c r="H28" s="3"/>
      <c r="I28" s="3"/>
      <c r="J28" s="3"/>
      <c r="K28" s="14"/>
    </row>
    <row r="29" spans="1:11" ht="12.75" customHeight="1">
      <c r="A29" s="13" t="s">
        <v>97</v>
      </c>
      <c r="B29" s="3"/>
      <c r="C29" s="3"/>
      <c r="D29" s="3"/>
      <c r="E29" s="3"/>
      <c r="F29" s="3"/>
      <c r="G29" s="3"/>
      <c r="H29" s="3"/>
      <c r="I29" s="3"/>
      <c r="J29" s="3"/>
      <c r="K29" s="14"/>
    </row>
    <row r="30" spans="1:11" ht="12.75" customHeight="1">
      <c r="A30" s="13" t="s">
        <v>86</v>
      </c>
      <c r="B30" s="24">
        <v>-18948</v>
      </c>
      <c r="C30" s="24">
        <v>-42251</v>
      </c>
      <c r="D30" s="24">
        <v>-5509</v>
      </c>
      <c r="E30" s="24">
        <v>-3400</v>
      </c>
      <c r="F30" s="24">
        <v>-8658</v>
      </c>
      <c r="G30" s="24">
        <v>-7600</v>
      </c>
      <c r="H30" s="24">
        <v>5766</v>
      </c>
      <c r="I30" s="24">
        <v>3824</v>
      </c>
      <c r="J30" s="24"/>
      <c r="K30" s="35">
        <v>-2000</v>
      </c>
    </row>
    <row r="31" spans="1:11" ht="12.75" customHeight="1">
      <c r="A31" s="13" t="s">
        <v>87</v>
      </c>
      <c r="B31" s="24">
        <v>-3488</v>
      </c>
      <c r="C31" s="24">
        <v>-5189</v>
      </c>
      <c r="D31" s="24"/>
      <c r="E31" s="24"/>
      <c r="F31" s="3"/>
      <c r="G31" s="24"/>
      <c r="H31" s="24">
        <v>-257</v>
      </c>
      <c r="I31" s="24"/>
      <c r="J31" s="24"/>
      <c r="K31" s="14"/>
    </row>
    <row r="32" spans="1:11" ht="12.75" customHeight="1">
      <c r="A32" s="13" t="s">
        <v>88</v>
      </c>
      <c r="B32" s="3" t="s">
        <v>93</v>
      </c>
      <c r="C32" s="3"/>
      <c r="D32" s="3"/>
      <c r="E32" s="3"/>
      <c r="F32" s="3"/>
      <c r="G32" s="24"/>
      <c r="H32" s="24"/>
      <c r="I32" s="24"/>
      <c r="J32" s="24">
        <v>-156</v>
      </c>
      <c r="K32" s="14"/>
    </row>
    <row r="33" spans="1:11" ht="12.75" customHeight="1">
      <c r="A33" s="17"/>
      <c r="B33" s="3"/>
      <c r="C33" s="3"/>
      <c r="D33" s="3"/>
      <c r="E33" s="3"/>
      <c r="F33" s="3"/>
      <c r="G33" s="3"/>
      <c r="H33" s="3"/>
      <c r="I33" s="3"/>
      <c r="J33" s="3"/>
      <c r="K33" s="14"/>
    </row>
    <row r="34" spans="1:11" ht="12.75" customHeight="1">
      <c r="A34" s="11" t="s">
        <v>89</v>
      </c>
      <c r="B34" s="26">
        <f>SUM(B29:B32)</f>
        <v>-22436</v>
      </c>
      <c r="C34" s="26">
        <f aca="true" t="shared" si="2" ref="C34:K34">SUM(C29:C32)</f>
        <v>-47440</v>
      </c>
      <c r="D34" s="26">
        <f t="shared" si="2"/>
        <v>-5509</v>
      </c>
      <c r="E34" s="26">
        <f t="shared" si="2"/>
        <v>-3400</v>
      </c>
      <c r="F34" s="26">
        <f t="shared" si="2"/>
        <v>-8658</v>
      </c>
      <c r="G34" s="26">
        <f t="shared" si="2"/>
        <v>-7600</v>
      </c>
      <c r="H34" s="26">
        <f t="shared" si="2"/>
        <v>5509</v>
      </c>
      <c r="I34" s="26">
        <f t="shared" si="2"/>
        <v>3824</v>
      </c>
      <c r="J34" s="26">
        <f t="shared" si="2"/>
        <v>-156</v>
      </c>
      <c r="K34" s="30">
        <f t="shared" si="2"/>
        <v>-2000</v>
      </c>
    </row>
    <row r="35" spans="1:11" ht="12.75" customHeight="1">
      <c r="A35" s="17"/>
      <c r="B35" s="3"/>
      <c r="C35" s="3"/>
      <c r="D35" s="3"/>
      <c r="E35" s="3"/>
      <c r="F35" s="3"/>
      <c r="G35" s="3"/>
      <c r="H35" s="3"/>
      <c r="I35" s="3"/>
      <c r="J35" s="3"/>
      <c r="K35" s="14"/>
    </row>
    <row r="36" spans="1:11" ht="12.75" customHeight="1">
      <c r="A36" s="11" t="s">
        <v>90</v>
      </c>
      <c r="B36" s="26">
        <f aca="true" t="shared" si="3" ref="B36:K36">SUM(B14+(B26+B34))</f>
        <v>-2612</v>
      </c>
      <c r="C36" s="26">
        <f t="shared" si="3"/>
        <v>493424</v>
      </c>
      <c r="D36" s="26">
        <f>(D14+(D26+D34))</f>
        <v>-242</v>
      </c>
      <c r="E36" s="26">
        <f t="shared" si="3"/>
        <v>647</v>
      </c>
      <c r="F36" s="26">
        <f t="shared" si="3"/>
        <v>8072</v>
      </c>
      <c r="G36" s="26">
        <f t="shared" si="3"/>
        <v>2000</v>
      </c>
      <c r="H36" s="4">
        <f t="shared" si="3"/>
        <v>9204</v>
      </c>
      <c r="I36" s="26">
        <f t="shared" si="3"/>
        <v>-28</v>
      </c>
      <c r="J36" s="26">
        <f t="shared" si="3"/>
        <v>-945</v>
      </c>
      <c r="K36" s="30">
        <f t="shared" si="3"/>
        <v>-4128</v>
      </c>
    </row>
    <row r="37" spans="1:11" ht="12.75" customHeight="1">
      <c r="A37" s="11"/>
      <c r="B37" s="3"/>
      <c r="C37" s="3"/>
      <c r="D37" s="3"/>
      <c r="E37" s="3"/>
      <c r="F37" s="37"/>
      <c r="G37" s="3"/>
      <c r="H37" s="3"/>
      <c r="I37" s="3"/>
      <c r="J37" s="3"/>
      <c r="K37" s="14"/>
    </row>
    <row r="38" spans="1:11" ht="12.75" customHeight="1">
      <c r="A38" s="11" t="s">
        <v>91</v>
      </c>
      <c r="B38" s="4">
        <v>10230</v>
      </c>
      <c r="C38" s="4">
        <v>181462</v>
      </c>
      <c r="D38" s="4">
        <v>15493</v>
      </c>
      <c r="E38" s="4">
        <v>1396</v>
      </c>
      <c r="F38" s="4">
        <v>33651</v>
      </c>
      <c r="G38" s="4">
        <v>24416</v>
      </c>
      <c r="H38" s="4">
        <v>7580</v>
      </c>
      <c r="I38" s="4">
        <v>1750</v>
      </c>
      <c r="J38" s="4">
        <v>7928</v>
      </c>
      <c r="K38" s="15">
        <v>15849</v>
      </c>
    </row>
    <row r="39" spans="1:11" ht="12.75" customHeight="1">
      <c r="A39" s="11"/>
      <c r="B39" s="4"/>
      <c r="C39" s="4"/>
      <c r="D39" s="4"/>
      <c r="E39" s="4"/>
      <c r="F39" s="4"/>
      <c r="G39" s="4"/>
      <c r="H39" s="4"/>
      <c r="I39" s="4"/>
      <c r="J39" s="4"/>
      <c r="K39" s="15"/>
    </row>
    <row r="40" spans="1:11" ht="12.75" customHeight="1">
      <c r="A40" s="11" t="s">
        <v>94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15">
        <v>0</v>
      </c>
    </row>
    <row r="41" spans="1:11" ht="12.75" customHeight="1">
      <c r="A41" s="11"/>
      <c r="B41" s="4"/>
      <c r="C41" s="4"/>
      <c r="D41" s="4"/>
      <c r="E41" s="47"/>
      <c r="F41" s="47"/>
      <c r="G41" s="4"/>
      <c r="H41" s="4"/>
      <c r="I41" s="4"/>
      <c r="J41" s="4"/>
      <c r="K41" s="15"/>
    </row>
    <row r="42" spans="1:11" ht="12.75" customHeight="1" thickBot="1">
      <c r="A42" s="20" t="s">
        <v>92</v>
      </c>
      <c r="B42" s="21">
        <f>SUM(B36+B38+B40)</f>
        <v>7618</v>
      </c>
      <c r="C42" s="21">
        <f>SUM(C36+C38+C40)</f>
        <v>674886</v>
      </c>
      <c r="D42" s="21">
        <f aca="true" t="shared" si="4" ref="D42:K42">SUM(D36+D38+D40)</f>
        <v>15251</v>
      </c>
      <c r="E42" s="21">
        <f t="shared" si="4"/>
        <v>2043</v>
      </c>
      <c r="F42" s="21">
        <f t="shared" si="4"/>
        <v>41723</v>
      </c>
      <c r="G42" s="21">
        <f t="shared" si="4"/>
        <v>26416</v>
      </c>
      <c r="H42" s="21">
        <f t="shared" si="4"/>
        <v>16784</v>
      </c>
      <c r="I42" s="21">
        <f t="shared" si="4"/>
        <v>1722</v>
      </c>
      <c r="J42" s="21">
        <f t="shared" si="4"/>
        <v>6983</v>
      </c>
      <c r="K42" s="22">
        <f t="shared" si="4"/>
        <v>11721</v>
      </c>
    </row>
    <row r="43" spans="1:9" ht="16.5" customHeight="1">
      <c r="A43" s="152" t="s">
        <v>102</v>
      </c>
      <c r="B43" s="152"/>
      <c r="C43" s="152"/>
      <c r="D43" s="152"/>
      <c r="E43" s="152"/>
      <c r="F43" s="152"/>
      <c r="G43" s="152"/>
      <c r="H43" s="152"/>
      <c r="I43" s="48"/>
    </row>
    <row r="44" spans="1:4" ht="15.75" thickBot="1">
      <c r="A44" s="1"/>
      <c r="B44" s="1"/>
      <c r="C44" s="40"/>
      <c r="D44" s="38" t="s">
        <v>13</v>
      </c>
    </row>
    <row r="45" spans="1:4" ht="21">
      <c r="A45" s="10"/>
      <c r="B45" s="57" t="s">
        <v>10</v>
      </c>
      <c r="C45" s="56" t="s">
        <v>11</v>
      </c>
      <c r="D45" s="58" t="s">
        <v>12</v>
      </c>
    </row>
    <row r="46" spans="1:4" ht="12.75" customHeight="1">
      <c r="A46" s="11" t="s">
        <v>65</v>
      </c>
      <c r="B46" s="33"/>
      <c r="C46" s="33"/>
      <c r="D46" s="34"/>
    </row>
    <row r="47" spans="1:4" ht="12.75" customHeight="1">
      <c r="A47" s="13" t="s">
        <v>66</v>
      </c>
      <c r="B47" s="24">
        <v>2381591</v>
      </c>
      <c r="C47" s="24">
        <v>529818</v>
      </c>
      <c r="D47" s="35">
        <v>306757</v>
      </c>
    </row>
    <row r="48" spans="1:4" ht="12.75" customHeight="1">
      <c r="A48" s="13" t="s">
        <v>67</v>
      </c>
      <c r="B48" s="24"/>
      <c r="C48" s="24"/>
      <c r="D48" s="35"/>
    </row>
    <row r="49" spans="1:4" ht="12.75" customHeight="1">
      <c r="A49" s="13" t="s">
        <v>68</v>
      </c>
      <c r="B49" s="24">
        <v>454</v>
      </c>
      <c r="C49" s="24"/>
      <c r="D49" s="35">
        <v>63</v>
      </c>
    </row>
    <row r="50" spans="1:4" ht="12.75" customHeight="1">
      <c r="A50" s="13" t="s">
        <v>69</v>
      </c>
      <c r="B50" s="24">
        <v>-1582395</v>
      </c>
      <c r="C50" s="24">
        <v>-464962</v>
      </c>
      <c r="D50" s="35">
        <v>-310187</v>
      </c>
    </row>
    <row r="51" spans="1:4" ht="12.75" customHeight="1">
      <c r="A51" s="13" t="s">
        <v>70</v>
      </c>
      <c r="B51" s="24">
        <v>-171211</v>
      </c>
      <c r="C51" s="24">
        <v>-43467</v>
      </c>
      <c r="D51" s="35">
        <v>-24485</v>
      </c>
    </row>
    <row r="52" spans="1:4" ht="12.75" customHeight="1">
      <c r="A52" s="13" t="s">
        <v>71</v>
      </c>
      <c r="B52" s="24"/>
      <c r="C52" s="24"/>
      <c r="D52" s="35">
        <v>-4</v>
      </c>
    </row>
    <row r="53" spans="1:4" ht="12.75" customHeight="1">
      <c r="A53" s="13" t="s">
        <v>72</v>
      </c>
      <c r="B53" s="24">
        <v>-591</v>
      </c>
      <c r="C53" s="24">
        <v>-293</v>
      </c>
      <c r="D53" s="35">
        <v>-256</v>
      </c>
    </row>
    <row r="54" spans="1:4" ht="12.75" customHeight="1">
      <c r="A54" s="13" t="s">
        <v>73</v>
      </c>
      <c r="B54" s="24">
        <v>-311926</v>
      </c>
      <c r="C54" s="24">
        <v>-9367</v>
      </c>
      <c r="D54" s="35">
        <v>-6465</v>
      </c>
    </row>
    <row r="55" spans="1:4" ht="12.75" customHeight="1">
      <c r="A55" s="17"/>
      <c r="B55" s="24"/>
      <c r="C55" s="24"/>
      <c r="D55" s="35"/>
    </row>
    <row r="56" spans="1:4" ht="12.75" customHeight="1">
      <c r="A56" s="11" t="s">
        <v>74</v>
      </c>
      <c r="B56" s="26">
        <f>SUM(B47:B54)</f>
        <v>315922</v>
      </c>
      <c r="C56" s="26">
        <f>SUM(C46:C55)</f>
        <v>11729</v>
      </c>
      <c r="D56" s="30">
        <f>SUM(D46:D55)</f>
        <v>-34577</v>
      </c>
    </row>
    <row r="57" spans="1:4" ht="12.75" customHeight="1">
      <c r="A57" s="17"/>
      <c r="B57" s="24"/>
      <c r="C57" s="24"/>
      <c r="D57" s="35"/>
    </row>
    <row r="58" spans="1:4" ht="12.75" customHeight="1">
      <c r="A58" s="11" t="s">
        <v>75</v>
      </c>
      <c r="B58" s="24"/>
      <c r="C58" s="24"/>
      <c r="D58" s="35"/>
    </row>
    <row r="59" spans="1:4" ht="12.75" customHeight="1">
      <c r="A59" s="13" t="s">
        <v>76</v>
      </c>
      <c r="B59" s="24"/>
      <c r="C59" s="24"/>
      <c r="D59" s="35"/>
    </row>
    <row r="60" spans="1:4" ht="12.75" customHeight="1">
      <c r="A60" s="13" t="s">
        <v>77</v>
      </c>
      <c r="B60" s="24"/>
      <c r="C60" s="24"/>
      <c r="D60" s="35"/>
    </row>
    <row r="61" spans="1:4" ht="12.75" customHeight="1">
      <c r="A61" s="13" t="s">
        <v>78</v>
      </c>
      <c r="B61" s="24"/>
      <c r="C61" s="24"/>
      <c r="D61" s="35"/>
    </row>
    <row r="62" spans="1:4" ht="12.75" customHeight="1">
      <c r="A62" s="13" t="s">
        <v>79</v>
      </c>
      <c r="B62" s="24"/>
      <c r="C62" s="24"/>
      <c r="D62" s="35">
        <v>78</v>
      </c>
    </row>
    <row r="63" spans="1:4" ht="12.75" customHeight="1">
      <c r="A63" s="13" t="s">
        <v>80</v>
      </c>
      <c r="B63" s="24"/>
      <c r="C63" s="24"/>
      <c r="D63" s="35"/>
    </row>
    <row r="64" spans="1:4" ht="12.75" customHeight="1">
      <c r="A64" s="13" t="s">
        <v>81</v>
      </c>
      <c r="B64" s="24"/>
      <c r="C64" s="24"/>
      <c r="D64" s="35"/>
    </row>
    <row r="65" spans="1:4" ht="12.75" customHeight="1">
      <c r="A65" s="13" t="s">
        <v>82</v>
      </c>
      <c r="B65" s="24">
        <v>-87415</v>
      </c>
      <c r="C65" s="24"/>
      <c r="D65" s="35"/>
    </row>
    <row r="66" spans="1:4" ht="12.75" customHeight="1">
      <c r="A66" s="13" t="s">
        <v>83</v>
      </c>
      <c r="B66" s="24"/>
      <c r="C66" s="24"/>
      <c r="D66" s="35"/>
    </row>
    <row r="67" spans="1:4" ht="12.75" customHeight="1">
      <c r="A67" s="17"/>
      <c r="B67" s="24"/>
      <c r="C67" s="24"/>
      <c r="D67" s="35"/>
    </row>
    <row r="68" spans="1:4" ht="12.75" customHeight="1">
      <c r="A68" s="11" t="s">
        <v>84</v>
      </c>
      <c r="B68" s="26">
        <f>SUM(B59:B66)</f>
        <v>-87415</v>
      </c>
      <c r="C68" s="26">
        <f>SUM(C59:C66)</f>
        <v>0</v>
      </c>
      <c r="D68" s="30">
        <f>SUM(D59:D66)</f>
        <v>78</v>
      </c>
    </row>
    <row r="69" spans="1:4" ht="12.75" customHeight="1">
      <c r="A69" s="17"/>
      <c r="B69" s="24"/>
      <c r="C69" s="24"/>
      <c r="D69" s="35"/>
    </row>
    <row r="70" spans="1:4" ht="12.75" customHeight="1">
      <c r="A70" s="11" t="s">
        <v>85</v>
      </c>
      <c r="B70" s="24"/>
      <c r="C70" s="24"/>
      <c r="D70" s="35"/>
    </row>
    <row r="71" spans="1:4" ht="12.75" customHeight="1">
      <c r="A71" s="13" t="s">
        <v>97</v>
      </c>
      <c r="B71" s="24"/>
      <c r="C71" s="24"/>
      <c r="D71" s="35"/>
    </row>
    <row r="72" spans="1:7" ht="12.75" customHeight="1">
      <c r="A72" s="13" t="s">
        <v>86</v>
      </c>
      <c r="B72" s="24"/>
      <c r="C72" s="24"/>
      <c r="D72" s="35"/>
      <c r="G72" s="43"/>
    </row>
    <row r="73" spans="1:4" ht="12.75" customHeight="1">
      <c r="A73" s="13" t="s">
        <v>87</v>
      </c>
      <c r="B73" s="24"/>
      <c r="C73" s="24"/>
      <c r="D73" s="35"/>
    </row>
    <row r="74" spans="1:4" ht="12.75" customHeight="1">
      <c r="A74" s="13" t="s">
        <v>88</v>
      </c>
      <c r="B74" s="24"/>
      <c r="C74" s="24"/>
      <c r="D74" s="35"/>
    </row>
    <row r="75" spans="1:4" ht="12.75" customHeight="1">
      <c r="A75" s="17"/>
      <c r="B75" s="24"/>
      <c r="C75" s="24"/>
      <c r="D75" s="35"/>
    </row>
    <row r="76" spans="1:4" ht="12.75" customHeight="1">
      <c r="A76" s="11" t="s">
        <v>89</v>
      </c>
      <c r="B76" s="36">
        <f>SUM(B71:B74)</f>
        <v>0</v>
      </c>
      <c r="C76" s="26">
        <f>SUM(C71:C74)</f>
        <v>0</v>
      </c>
      <c r="D76" s="52">
        <f>SUM(D71:D74)</f>
        <v>0</v>
      </c>
    </row>
    <row r="77" spans="1:4" ht="12.75" customHeight="1">
      <c r="A77" s="17"/>
      <c r="B77" s="24"/>
      <c r="C77" s="24"/>
      <c r="D77" s="35"/>
    </row>
    <row r="78" spans="1:4" ht="12.75" customHeight="1">
      <c r="A78" s="11" t="s">
        <v>90</v>
      </c>
      <c r="B78" s="26">
        <f>SUM(B56+(B68+B76))</f>
        <v>228507</v>
      </c>
      <c r="C78" s="26">
        <f>SUM(C56+(C68+C76))</f>
        <v>11729</v>
      </c>
      <c r="D78" s="30">
        <f>SUM(D56+(D68+D76))</f>
        <v>-34499</v>
      </c>
    </row>
    <row r="79" spans="1:4" ht="12.75" customHeight="1">
      <c r="A79" s="11"/>
      <c r="B79" s="24"/>
      <c r="C79" s="24"/>
      <c r="D79" s="35"/>
    </row>
    <row r="80" spans="1:4" ht="12.75" customHeight="1">
      <c r="A80" s="11" t="s">
        <v>91</v>
      </c>
      <c r="B80" s="26">
        <v>256760</v>
      </c>
      <c r="C80" s="26">
        <v>3747</v>
      </c>
      <c r="D80" s="30">
        <v>41852</v>
      </c>
    </row>
    <row r="81" spans="1:4" ht="12.75" customHeight="1">
      <c r="A81" s="11"/>
      <c r="B81" s="26"/>
      <c r="C81" s="26"/>
      <c r="D81" s="30"/>
    </row>
    <row r="82" spans="1:4" ht="12.75" customHeight="1">
      <c r="A82" s="11" t="s">
        <v>96</v>
      </c>
      <c r="B82" s="26">
        <v>-5851</v>
      </c>
      <c r="C82" s="26"/>
      <c r="D82" s="30">
        <v>-434</v>
      </c>
    </row>
    <row r="83" spans="1:4" ht="12.75" customHeight="1">
      <c r="A83" s="17"/>
      <c r="B83" s="26"/>
      <c r="C83" s="26"/>
      <c r="D83" s="30"/>
    </row>
    <row r="84" spans="1:4" ht="12.75" customHeight="1" thickBot="1">
      <c r="A84" s="20" t="s">
        <v>92</v>
      </c>
      <c r="B84" s="27">
        <f>SUM(B78+B80+B82)</f>
        <v>479416</v>
      </c>
      <c r="C84" s="27">
        <f>SUM(C78+C80+C82)</f>
        <v>15476</v>
      </c>
      <c r="D84" s="31">
        <f>SUM(D78,D80,D82)</f>
        <v>6919</v>
      </c>
    </row>
  </sheetData>
  <mergeCells count="2">
    <mergeCell ref="A1:K1"/>
    <mergeCell ref="A43:H43"/>
  </mergeCells>
  <printOptions/>
  <pageMargins left="0.66" right="0.4" top="0.32" bottom="0.42" header="0.17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7"/>
  <sheetViews>
    <sheetView workbookViewId="0" topLeftCell="A1">
      <selection activeCell="D11" sqref="D11"/>
    </sheetView>
  </sheetViews>
  <sheetFormatPr defaultColWidth="9.140625" defaultRowHeight="12.75"/>
  <cols>
    <col min="1" max="1" width="38.421875" style="0" customWidth="1"/>
    <col min="2" max="16" width="10.00390625" style="0" customWidth="1"/>
  </cols>
  <sheetData>
    <row r="1" spans="1:16" ht="18.75">
      <c r="A1" s="154" t="s">
        <v>106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1:16" ht="18.7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18.7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7" ht="13.5" thickBot="1">
      <c r="A4" s="155"/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7"/>
      <c r="Q4" s="60"/>
    </row>
    <row r="5" spans="1:16" ht="15" customHeight="1">
      <c r="A5" s="61"/>
      <c r="B5" s="158" t="s">
        <v>1</v>
      </c>
      <c r="C5" s="159"/>
      <c r="D5" s="160"/>
      <c r="E5" s="161" t="s">
        <v>2</v>
      </c>
      <c r="F5" s="162"/>
      <c r="G5" s="163"/>
      <c r="H5" s="164" t="s">
        <v>3</v>
      </c>
      <c r="I5" s="162"/>
      <c r="J5" s="165"/>
      <c r="K5" s="164" t="s">
        <v>4</v>
      </c>
      <c r="L5" s="162"/>
      <c r="M5" s="165"/>
      <c r="N5" s="161" t="s">
        <v>5</v>
      </c>
      <c r="O5" s="162"/>
      <c r="P5" s="165"/>
    </row>
    <row r="6" spans="1:16" ht="15.75">
      <c r="A6" s="62"/>
      <c r="B6" s="63">
        <v>40633</v>
      </c>
      <c r="C6" s="64">
        <v>40543</v>
      </c>
      <c r="D6" s="65">
        <v>40268</v>
      </c>
      <c r="E6" s="63">
        <v>40633</v>
      </c>
      <c r="F6" s="64">
        <v>40543</v>
      </c>
      <c r="G6" s="65">
        <v>40268</v>
      </c>
      <c r="H6" s="63">
        <v>40633</v>
      </c>
      <c r="I6" s="64">
        <v>40543</v>
      </c>
      <c r="J6" s="65">
        <v>40268</v>
      </c>
      <c r="K6" s="63">
        <v>40633</v>
      </c>
      <c r="L6" s="64">
        <v>40543</v>
      </c>
      <c r="M6" s="65">
        <v>40268</v>
      </c>
      <c r="N6" s="63">
        <v>40633</v>
      </c>
      <c r="O6" s="64">
        <v>40543</v>
      </c>
      <c r="P6" s="65">
        <v>40268</v>
      </c>
    </row>
    <row r="7" spans="1:16" ht="15.75">
      <c r="A7" s="66" t="s">
        <v>107</v>
      </c>
      <c r="B7" s="67"/>
      <c r="C7" s="68"/>
      <c r="D7" s="69"/>
      <c r="E7" s="70"/>
      <c r="F7" s="68"/>
      <c r="G7" s="71"/>
      <c r="H7" s="67"/>
      <c r="I7" s="68"/>
      <c r="J7" s="69"/>
      <c r="K7" s="67"/>
      <c r="L7" s="68"/>
      <c r="M7" s="69"/>
      <c r="N7" s="70"/>
      <c r="O7" s="68"/>
      <c r="P7" s="69"/>
    </row>
    <row r="8" spans="1:16" ht="15.75">
      <c r="A8" s="72" t="s">
        <v>108</v>
      </c>
      <c r="B8" s="67">
        <v>7.43</v>
      </c>
      <c r="C8" s="68">
        <v>2.67</v>
      </c>
      <c r="D8" s="69">
        <v>5.68</v>
      </c>
      <c r="E8" s="68">
        <v>2.03</v>
      </c>
      <c r="F8" s="68">
        <v>1.8</v>
      </c>
      <c r="G8" s="69">
        <v>2.81</v>
      </c>
      <c r="H8" s="68">
        <v>1.62</v>
      </c>
      <c r="I8" s="68">
        <v>1.28</v>
      </c>
      <c r="J8" s="69">
        <v>2.44</v>
      </c>
      <c r="K8" s="68">
        <v>1.39</v>
      </c>
      <c r="L8" s="68">
        <v>1.31</v>
      </c>
      <c r="M8" s="69">
        <v>1.22</v>
      </c>
      <c r="N8" s="68">
        <v>1.95</v>
      </c>
      <c r="O8" s="68">
        <v>1.65</v>
      </c>
      <c r="P8" s="69">
        <v>2.02</v>
      </c>
    </row>
    <row r="9" spans="1:16" ht="15.75">
      <c r="A9" s="72" t="s">
        <v>109</v>
      </c>
      <c r="B9" s="67">
        <v>7.36</v>
      </c>
      <c r="C9" s="68">
        <v>2.66</v>
      </c>
      <c r="D9" s="69">
        <v>5.64</v>
      </c>
      <c r="E9" s="68">
        <v>1.42</v>
      </c>
      <c r="F9" s="68">
        <v>1.28</v>
      </c>
      <c r="G9" s="69">
        <v>1.86</v>
      </c>
      <c r="H9" s="68">
        <v>0.65</v>
      </c>
      <c r="I9" s="68">
        <v>0.65</v>
      </c>
      <c r="J9" s="69">
        <v>0.76</v>
      </c>
      <c r="K9" s="68">
        <v>0.96</v>
      </c>
      <c r="L9" s="68">
        <v>0.96</v>
      </c>
      <c r="M9" s="69">
        <v>0.86</v>
      </c>
      <c r="N9" s="68">
        <v>1.15</v>
      </c>
      <c r="O9" s="68">
        <v>1.08</v>
      </c>
      <c r="P9" s="69">
        <v>1.21</v>
      </c>
    </row>
    <row r="10" spans="1:16" ht="15.75">
      <c r="A10" s="72" t="s">
        <v>110</v>
      </c>
      <c r="B10" s="67">
        <v>0.09</v>
      </c>
      <c r="C10" s="68">
        <v>0.04</v>
      </c>
      <c r="D10" s="69">
        <v>0.08</v>
      </c>
      <c r="E10" s="68">
        <v>0.58</v>
      </c>
      <c r="F10" s="68">
        <v>0.15</v>
      </c>
      <c r="G10" s="69">
        <v>0.6</v>
      </c>
      <c r="H10" s="68">
        <v>0.16</v>
      </c>
      <c r="I10" s="68">
        <v>0.14</v>
      </c>
      <c r="J10" s="69">
        <v>0.17</v>
      </c>
      <c r="K10" s="68">
        <v>0.02</v>
      </c>
      <c r="L10" s="68">
        <v>0.02</v>
      </c>
      <c r="M10" s="69">
        <v>0.01</v>
      </c>
      <c r="N10" s="68">
        <v>0.39</v>
      </c>
      <c r="O10" s="68">
        <v>0.29</v>
      </c>
      <c r="P10" s="69">
        <v>0.31</v>
      </c>
    </row>
    <row r="11" spans="1:16" ht="15.75">
      <c r="A11" s="72"/>
      <c r="B11" s="67"/>
      <c r="C11" s="68"/>
      <c r="D11" s="69"/>
      <c r="E11" s="68"/>
      <c r="F11" s="68"/>
      <c r="G11" s="69"/>
      <c r="H11" s="68"/>
      <c r="I11" s="68"/>
      <c r="J11" s="69"/>
      <c r="K11" s="68"/>
      <c r="L11" s="68"/>
      <c r="M11" s="69"/>
      <c r="N11" s="68"/>
      <c r="O11" s="68"/>
      <c r="P11" s="69"/>
    </row>
    <row r="12" spans="1:16" ht="15.75">
      <c r="A12" s="66" t="s">
        <v>111</v>
      </c>
      <c r="B12" s="67"/>
      <c r="C12" s="68"/>
      <c r="D12" s="69"/>
      <c r="E12" s="68"/>
      <c r="F12" s="68"/>
      <c r="G12" s="69"/>
      <c r="H12" s="68"/>
      <c r="I12" s="68"/>
      <c r="J12" s="69"/>
      <c r="K12" s="68"/>
      <c r="L12" s="68"/>
      <c r="M12" s="69"/>
      <c r="N12" s="68"/>
      <c r="O12" s="68"/>
      <c r="P12" s="69"/>
    </row>
    <row r="13" spans="1:16" ht="15.75">
      <c r="A13" s="72" t="s">
        <v>112</v>
      </c>
      <c r="B13" s="67">
        <v>0.95</v>
      </c>
      <c r="C13" s="68">
        <v>5.9</v>
      </c>
      <c r="D13" s="69">
        <v>1.3</v>
      </c>
      <c r="E13" s="68">
        <v>0.76</v>
      </c>
      <c r="F13" s="68">
        <v>2.64</v>
      </c>
      <c r="G13" s="69">
        <v>0.6</v>
      </c>
      <c r="H13" s="68">
        <v>0.9</v>
      </c>
      <c r="I13" s="68">
        <v>3.25</v>
      </c>
      <c r="J13" s="69">
        <v>0.53</v>
      </c>
      <c r="K13" s="68">
        <v>1.22</v>
      </c>
      <c r="L13" s="68">
        <v>6.62</v>
      </c>
      <c r="M13" s="69">
        <v>1.42</v>
      </c>
      <c r="N13" s="68">
        <v>1.98</v>
      </c>
      <c r="O13" s="68">
        <v>7.47</v>
      </c>
      <c r="P13" s="69">
        <v>2.17</v>
      </c>
    </row>
    <row r="14" spans="1:16" ht="15.75">
      <c r="A14" s="72" t="s">
        <v>113</v>
      </c>
      <c r="B14" s="73">
        <v>95</v>
      </c>
      <c r="C14" s="74">
        <v>62</v>
      </c>
      <c r="D14" s="75">
        <v>69</v>
      </c>
      <c r="E14" s="74">
        <v>118</v>
      </c>
      <c r="F14" s="74">
        <v>138</v>
      </c>
      <c r="G14" s="75">
        <v>150</v>
      </c>
      <c r="H14" s="74">
        <v>100</v>
      </c>
      <c r="I14" s="74">
        <v>112</v>
      </c>
      <c r="J14" s="75">
        <v>170</v>
      </c>
      <c r="K14" s="74">
        <v>74</v>
      </c>
      <c r="L14" s="74">
        <v>55</v>
      </c>
      <c r="M14" s="75">
        <v>63</v>
      </c>
      <c r="N14" s="74">
        <v>45</v>
      </c>
      <c r="O14" s="74">
        <v>49</v>
      </c>
      <c r="P14" s="75">
        <v>41</v>
      </c>
    </row>
    <row r="15" spans="1:16" ht="15.75">
      <c r="A15" s="72" t="s">
        <v>114</v>
      </c>
      <c r="B15" s="67"/>
      <c r="C15" s="68"/>
      <c r="D15" s="69"/>
      <c r="E15" s="68">
        <v>1.15</v>
      </c>
      <c r="F15" s="68">
        <v>4.99</v>
      </c>
      <c r="G15" s="69">
        <v>1</v>
      </c>
      <c r="H15" s="68">
        <v>0.76</v>
      </c>
      <c r="I15" s="68">
        <v>4.72</v>
      </c>
      <c r="J15" s="69">
        <v>0.84</v>
      </c>
      <c r="K15" s="68">
        <v>6.31</v>
      </c>
      <c r="L15" s="68">
        <v>28.33</v>
      </c>
      <c r="M15" s="69">
        <v>6.01</v>
      </c>
      <c r="N15" s="68">
        <v>0.8</v>
      </c>
      <c r="O15" s="68">
        <v>5.43</v>
      </c>
      <c r="P15" s="69">
        <v>1</v>
      </c>
    </row>
    <row r="16" spans="1:16" ht="15.75">
      <c r="A16" s="72" t="s">
        <v>115</v>
      </c>
      <c r="B16" s="73"/>
      <c r="C16" s="74"/>
      <c r="D16" s="75"/>
      <c r="E16" s="74">
        <v>78</v>
      </c>
      <c r="F16" s="74">
        <v>73</v>
      </c>
      <c r="G16" s="75">
        <v>90</v>
      </c>
      <c r="H16" s="74">
        <v>118</v>
      </c>
      <c r="I16" s="74">
        <v>77</v>
      </c>
      <c r="J16" s="75">
        <v>107</v>
      </c>
      <c r="K16" s="74">
        <v>14</v>
      </c>
      <c r="L16" s="74">
        <v>13</v>
      </c>
      <c r="M16" s="75">
        <v>15</v>
      </c>
      <c r="N16" s="74">
        <v>112</v>
      </c>
      <c r="O16" s="74">
        <v>67</v>
      </c>
      <c r="P16" s="75">
        <v>90</v>
      </c>
    </row>
    <row r="17" spans="1:16" ht="15.75">
      <c r="A17" s="72" t="s">
        <v>116</v>
      </c>
      <c r="B17" s="67">
        <v>0.54</v>
      </c>
      <c r="C17" s="68">
        <v>1.94</v>
      </c>
      <c r="D17" s="69">
        <v>0.43</v>
      </c>
      <c r="E17" s="68">
        <v>0.57</v>
      </c>
      <c r="F17" s="68">
        <v>2.33</v>
      </c>
      <c r="G17" s="69">
        <v>0.52</v>
      </c>
      <c r="H17" s="68">
        <v>0.62</v>
      </c>
      <c r="I17" s="68">
        <v>4.98</v>
      </c>
      <c r="J17" s="69">
        <v>1.31</v>
      </c>
      <c r="K17" s="68">
        <v>0.88</v>
      </c>
      <c r="L17" s="68">
        <v>3.68</v>
      </c>
      <c r="M17" s="69">
        <v>0.77</v>
      </c>
      <c r="N17" s="68">
        <v>0.66</v>
      </c>
      <c r="O17" s="68">
        <v>4.92</v>
      </c>
      <c r="P17" s="69">
        <v>0.93</v>
      </c>
    </row>
    <row r="18" spans="1:16" ht="15.75">
      <c r="A18" s="72" t="s">
        <v>117</v>
      </c>
      <c r="B18" s="73">
        <v>167</v>
      </c>
      <c r="C18" s="74">
        <v>188</v>
      </c>
      <c r="D18" s="75">
        <v>209</v>
      </c>
      <c r="E18" s="74">
        <v>158</v>
      </c>
      <c r="F18" s="74">
        <v>157</v>
      </c>
      <c r="G18" s="75">
        <v>173</v>
      </c>
      <c r="H18" s="74">
        <v>145</v>
      </c>
      <c r="I18" s="74">
        <v>73</v>
      </c>
      <c r="J18" s="75">
        <v>69</v>
      </c>
      <c r="K18" s="74">
        <v>102</v>
      </c>
      <c r="L18" s="74">
        <v>99</v>
      </c>
      <c r="M18" s="75">
        <v>116</v>
      </c>
      <c r="N18" s="74">
        <v>136</v>
      </c>
      <c r="O18" s="74">
        <v>74</v>
      </c>
      <c r="P18" s="75">
        <v>97</v>
      </c>
    </row>
    <row r="19" spans="1:16" ht="15.75">
      <c r="A19" s="72" t="s">
        <v>118</v>
      </c>
      <c r="B19" s="67">
        <v>2.77</v>
      </c>
      <c r="C19" s="68">
        <v>12.46</v>
      </c>
      <c r="D19" s="69">
        <v>3.22</v>
      </c>
      <c r="E19" s="68">
        <v>1.2</v>
      </c>
      <c r="F19" s="68">
        <v>3.84</v>
      </c>
      <c r="G19" s="69">
        <v>0.78</v>
      </c>
      <c r="H19" s="68">
        <v>0.74</v>
      </c>
      <c r="I19" s="68">
        <v>3.26</v>
      </c>
      <c r="J19" s="69">
        <v>0.85</v>
      </c>
      <c r="K19" s="68">
        <v>1.24</v>
      </c>
      <c r="L19" s="68">
        <v>4.2</v>
      </c>
      <c r="M19" s="69">
        <v>0.82</v>
      </c>
      <c r="N19" s="68">
        <v>0.78</v>
      </c>
      <c r="O19" s="68">
        <v>4.52</v>
      </c>
      <c r="P19" s="69">
        <v>0.93</v>
      </c>
    </row>
    <row r="20" spans="1:16" ht="15.75">
      <c r="A20" s="72" t="s">
        <v>119</v>
      </c>
      <c r="B20" s="73">
        <v>32</v>
      </c>
      <c r="C20" s="74">
        <v>29</v>
      </c>
      <c r="D20" s="75">
        <v>28</v>
      </c>
      <c r="E20" s="74">
        <v>75</v>
      </c>
      <c r="F20" s="74">
        <v>95</v>
      </c>
      <c r="G20" s="75">
        <v>115</v>
      </c>
      <c r="H20" s="74">
        <v>122</v>
      </c>
      <c r="I20" s="74">
        <v>112</v>
      </c>
      <c r="J20" s="75">
        <v>106</v>
      </c>
      <c r="K20" s="74">
        <v>73</v>
      </c>
      <c r="L20" s="74">
        <v>87</v>
      </c>
      <c r="M20" s="75">
        <v>110</v>
      </c>
      <c r="N20" s="74">
        <v>115</v>
      </c>
      <c r="O20" s="74">
        <v>81</v>
      </c>
      <c r="P20" s="75">
        <v>96</v>
      </c>
    </row>
    <row r="21" spans="1:16" ht="15.75">
      <c r="A21" s="72"/>
      <c r="B21" s="67"/>
      <c r="C21" s="68"/>
      <c r="D21" s="69"/>
      <c r="E21" s="68"/>
      <c r="F21" s="68"/>
      <c r="G21" s="69"/>
      <c r="H21" s="68"/>
      <c r="I21" s="68"/>
      <c r="J21" s="69"/>
      <c r="K21" s="68"/>
      <c r="L21" s="68"/>
      <c r="M21" s="69"/>
      <c r="N21" s="68"/>
      <c r="O21" s="68"/>
      <c r="P21" s="69"/>
    </row>
    <row r="22" spans="1:16" ht="15.75">
      <c r="A22" s="66" t="s">
        <v>120</v>
      </c>
      <c r="B22" s="67"/>
      <c r="C22" s="68"/>
      <c r="D22" s="69"/>
      <c r="E22" s="68"/>
      <c r="F22" s="68"/>
      <c r="G22" s="69"/>
      <c r="H22" s="68"/>
      <c r="I22" s="68"/>
      <c r="J22" s="69"/>
      <c r="K22" s="68"/>
      <c r="L22" s="68"/>
      <c r="M22" s="69"/>
      <c r="N22" s="68"/>
      <c r="O22" s="68"/>
      <c r="P22" s="69"/>
    </row>
    <row r="23" spans="1:16" ht="15.75">
      <c r="A23" s="72" t="s">
        <v>121</v>
      </c>
      <c r="B23" s="67">
        <v>25.56</v>
      </c>
      <c r="C23" s="68">
        <v>30.14</v>
      </c>
      <c r="D23" s="69">
        <v>16.06</v>
      </c>
      <c r="E23" s="68">
        <v>14.04</v>
      </c>
      <c r="F23" s="68">
        <v>12.01</v>
      </c>
      <c r="G23" s="69">
        <v>9.8</v>
      </c>
      <c r="H23" s="68"/>
      <c r="I23" s="68"/>
      <c r="J23" s="69"/>
      <c r="K23" s="68">
        <v>12.47</v>
      </c>
      <c r="L23" s="68">
        <v>6.24</v>
      </c>
      <c r="M23" s="69">
        <v>6.36</v>
      </c>
      <c r="N23" s="68"/>
      <c r="O23" s="68"/>
      <c r="P23" s="69"/>
    </row>
    <row r="24" spans="1:16" ht="15.75">
      <c r="A24" s="72" t="s">
        <v>122</v>
      </c>
      <c r="B24" s="76">
        <v>1.61</v>
      </c>
      <c r="C24" s="77">
        <v>8.52</v>
      </c>
      <c r="D24" s="78">
        <v>0.97</v>
      </c>
      <c r="E24" s="77">
        <v>3.59</v>
      </c>
      <c r="F24" s="77">
        <v>12.21</v>
      </c>
      <c r="G24" s="78">
        <v>2.4</v>
      </c>
      <c r="H24" s="77"/>
      <c r="I24" s="77"/>
      <c r="J24" s="78"/>
      <c r="K24" s="77">
        <v>7.17</v>
      </c>
      <c r="L24" s="77">
        <v>14.06</v>
      </c>
      <c r="M24" s="78">
        <v>3.44</v>
      </c>
      <c r="N24" s="77"/>
      <c r="O24" s="77"/>
      <c r="P24" s="78"/>
    </row>
    <row r="25" spans="1:16" ht="15.75">
      <c r="A25" s="72" t="s">
        <v>123</v>
      </c>
      <c r="B25" s="76">
        <v>2.04</v>
      </c>
      <c r="C25" s="77">
        <v>11.39</v>
      </c>
      <c r="D25" s="78">
        <v>1.35</v>
      </c>
      <c r="E25" s="77">
        <v>11.59</v>
      </c>
      <c r="F25" s="77">
        <v>41.7</v>
      </c>
      <c r="G25" s="78">
        <v>8.05</v>
      </c>
      <c r="H25" s="77"/>
      <c r="I25" s="77"/>
      <c r="J25" s="78"/>
      <c r="K25" s="77">
        <v>28.55</v>
      </c>
      <c r="L25" s="77">
        <v>72.33</v>
      </c>
      <c r="M25" s="78">
        <v>21.95</v>
      </c>
      <c r="N25" s="77"/>
      <c r="O25" s="77"/>
      <c r="P25" s="78"/>
    </row>
    <row r="26" spans="1:16" ht="15.75">
      <c r="A26" s="72"/>
      <c r="B26" s="76"/>
      <c r="C26" s="77"/>
      <c r="D26" s="78"/>
      <c r="E26" s="77"/>
      <c r="F26" s="77"/>
      <c r="G26" s="78"/>
      <c r="H26" s="77"/>
      <c r="I26" s="77"/>
      <c r="J26" s="78"/>
      <c r="K26" s="77"/>
      <c r="L26" s="77"/>
      <c r="M26" s="78"/>
      <c r="N26" s="77"/>
      <c r="O26" s="77"/>
      <c r="P26" s="78"/>
    </row>
    <row r="27" spans="1:16" ht="15.75">
      <c r="A27" s="66" t="s">
        <v>124</v>
      </c>
      <c r="B27" s="76"/>
      <c r="C27" s="77"/>
      <c r="D27" s="78"/>
      <c r="E27" s="77"/>
      <c r="F27" s="77"/>
      <c r="G27" s="78"/>
      <c r="H27" s="77"/>
      <c r="I27" s="77"/>
      <c r="J27" s="78"/>
      <c r="K27" s="77"/>
      <c r="L27" s="77"/>
      <c r="M27" s="78"/>
      <c r="N27" s="77"/>
      <c r="O27" s="77"/>
      <c r="P27" s="78"/>
    </row>
    <row r="28" spans="1:16" ht="15.75">
      <c r="A28" s="72" t="s">
        <v>125</v>
      </c>
      <c r="B28" s="76">
        <v>0.79</v>
      </c>
      <c r="C28" s="77">
        <v>0.78</v>
      </c>
      <c r="D28" s="78">
        <v>0.72</v>
      </c>
      <c r="E28" s="77">
        <v>0.32</v>
      </c>
      <c r="F28" s="77">
        <v>0.3</v>
      </c>
      <c r="G28" s="78">
        <v>0.31</v>
      </c>
      <c r="H28" s="77">
        <v>0.07</v>
      </c>
      <c r="I28" s="77">
        <v>0.08</v>
      </c>
      <c r="J28" s="78">
        <v>0.08</v>
      </c>
      <c r="K28" s="77">
        <v>0.28</v>
      </c>
      <c r="L28" s="77">
        <v>0.23</v>
      </c>
      <c r="M28" s="78">
        <v>0.16</v>
      </c>
      <c r="N28" s="77">
        <v>0.09</v>
      </c>
      <c r="O28" s="77">
        <v>0.11</v>
      </c>
      <c r="P28" s="78">
        <v>0</v>
      </c>
    </row>
    <row r="29" spans="1:16" ht="15.75">
      <c r="A29" s="72" t="s">
        <v>126</v>
      </c>
      <c r="B29" s="76">
        <v>0.21</v>
      </c>
      <c r="C29" s="77">
        <v>0.22</v>
      </c>
      <c r="D29" s="78">
        <v>0.28</v>
      </c>
      <c r="E29" s="77">
        <v>0.68</v>
      </c>
      <c r="F29" s="77">
        <v>0.7</v>
      </c>
      <c r="G29" s="78">
        <v>0.69</v>
      </c>
      <c r="H29" s="77">
        <v>0.93</v>
      </c>
      <c r="I29" s="77">
        <v>0.92</v>
      </c>
      <c r="J29" s="78">
        <v>0.92</v>
      </c>
      <c r="K29" s="77">
        <v>0.72</v>
      </c>
      <c r="L29" s="77">
        <v>0.77</v>
      </c>
      <c r="M29" s="78">
        <v>0.84</v>
      </c>
      <c r="N29" s="77">
        <v>0.91</v>
      </c>
      <c r="O29" s="77">
        <v>0.89</v>
      </c>
      <c r="P29" s="78">
        <v>1</v>
      </c>
    </row>
    <row r="30" spans="1:16" ht="15.75">
      <c r="A30" s="72" t="s">
        <v>127</v>
      </c>
      <c r="B30" s="76">
        <v>1.19</v>
      </c>
      <c r="C30" s="77">
        <v>1.17</v>
      </c>
      <c r="D30" s="78">
        <v>1.09</v>
      </c>
      <c r="E30" s="77">
        <v>1.59</v>
      </c>
      <c r="F30" s="77">
        <v>1.46</v>
      </c>
      <c r="G30" s="78">
        <v>1.78</v>
      </c>
      <c r="H30" s="77">
        <v>0.79</v>
      </c>
      <c r="I30" s="77">
        <v>0.73</v>
      </c>
      <c r="J30" s="78">
        <v>0.92</v>
      </c>
      <c r="K30" s="77">
        <v>0.92</v>
      </c>
      <c r="L30" s="77">
        <v>0.88</v>
      </c>
      <c r="M30" s="78">
        <v>0.62</v>
      </c>
      <c r="N30" s="77">
        <v>1.09</v>
      </c>
      <c r="O30" s="77">
        <v>1.06</v>
      </c>
      <c r="P30" s="78">
        <v>1.41</v>
      </c>
    </row>
    <row r="31" spans="1:16" ht="15.75">
      <c r="A31" s="72" t="s">
        <v>128</v>
      </c>
      <c r="B31" s="76">
        <v>1.17</v>
      </c>
      <c r="C31" s="77">
        <v>1.16</v>
      </c>
      <c r="D31" s="78">
        <v>1.07</v>
      </c>
      <c r="E31" s="77">
        <v>10.87</v>
      </c>
      <c r="F31" s="77">
        <v>9.29</v>
      </c>
      <c r="G31" s="78">
        <v>13.69</v>
      </c>
      <c r="H31" s="77">
        <v>1.8</v>
      </c>
      <c r="I31" s="77">
        <v>1.37</v>
      </c>
      <c r="J31" s="78">
        <v>1.79</v>
      </c>
      <c r="K31" s="77">
        <v>11.47</v>
      </c>
      <c r="L31" s="77">
        <v>13.28</v>
      </c>
      <c r="M31" s="78">
        <v>10.19</v>
      </c>
      <c r="N31" s="77">
        <v>2.23</v>
      </c>
      <c r="O31" s="77">
        <v>1.85</v>
      </c>
      <c r="P31" s="78">
        <v>2.46</v>
      </c>
    </row>
    <row r="32" spans="1:16" ht="15.75">
      <c r="A32" s="72" t="s">
        <v>129</v>
      </c>
      <c r="B32" s="79">
        <v>6.14</v>
      </c>
      <c r="C32" s="80">
        <v>1.33</v>
      </c>
      <c r="D32" s="81">
        <v>12.71</v>
      </c>
      <c r="E32" s="80">
        <v>12.27</v>
      </c>
      <c r="F32" s="80">
        <v>4.06</v>
      </c>
      <c r="G32" s="81">
        <v>17.51</v>
      </c>
      <c r="H32" s="80"/>
      <c r="I32" s="80"/>
      <c r="J32" s="81"/>
      <c r="K32" s="80">
        <v>2.86</v>
      </c>
      <c r="L32" s="82">
        <v>2.11</v>
      </c>
      <c r="M32" s="81">
        <v>5.83</v>
      </c>
      <c r="N32" s="80"/>
      <c r="O32" s="80"/>
      <c r="P32" s="81"/>
    </row>
    <row r="33" spans="1:16" ht="15.75">
      <c r="A33" s="72" t="s">
        <v>130</v>
      </c>
      <c r="B33" s="76">
        <v>4.62</v>
      </c>
      <c r="C33" s="77">
        <v>3.27</v>
      </c>
      <c r="D33" s="78">
        <v>4.42</v>
      </c>
      <c r="E33" s="77">
        <v>4.51</v>
      </c>
      <c r="F33" s="77">
        <v>3.53</v>
      </c>
      <c r="G33" s="78">
        <v>13.43</v>
      </c>
      <c r="H33" s="77"/>
      <c r="I33" s="77">
        <v>0.94</v>
      </c>
      <c r="J33" s="78">
        <v>0.82</v>
      </c>
      <c r="K33" s="77">
        <v>11.37</v>
      </c>
      <c r="L33" s="77">
        <v>9.57</v>
      </c>
      <c r="M33" s="78">
        <v>14.95</v>
      </c>
      <c r="N33" s="77"/>
      <c r="O33" s="77">
        <v>0.49</v>
      </c>
      <c r="P33" s="78">
        <v>2.32</v>
      </c>
    </row>
    <row r="34" spans="1:16" ht="15.75">
      <c r="A34" s="72" t="s">
        <v>131</v>
      </c>
      <c r="B34" s="76">
        <v>0.26</v>
      </c>
      <c r="C34" s="77">
        <v>0.28</v>
      </c>
      <c r="D34" s="78">
        <v>0.38</v>
      </c>
      <c r="E34" s="77">
        <v>2.13</v>
      </c>
      <c r="F34" s="77">
        <v>2.34</v>
      </c>
      <c r="G34" s="78">
        <v>2.2</v>
      </c>
      <c r="H34" s="77">
        <v>13.82</v>
      </c>
      <c r="I34" s="77">
        <v>10.95</v>
      </c>
      <c r="J34" s="78">
        <v>11.06</v>
      </c>
      <c r="K34" s="77">
        <v>2.63</v>
      </c>
      <c r="L34" s="77">
        <v>3.41</v>
      </c>
      <c r="M34" s="78">
        <v>5.11</v>
      </c>
      <c r="N34" s="77">
        <v>10.22</v>
      </c>
      <c r="O34" s="77">
        <v>8</v>
      </c>
      <c r="P34" s="78"/>
    </row>
    <row r="35" spans="1:16" ht="16.5" thickBot="1">
      <c r="A35" s="83"/>
      <c r="B35" s="84"/>
      <c r="C35" s="85"/>
      <c r="D35" s="86"/>
      <c r="E35" s="85"/>
      <c r="F35" s="85"/>
      <c r="G35" s="86"/>
      <c r="H35" s="85"/>
      <c r="I35" s="85"/>
      <c r="J35" s="86"/>
      <c r="K35" s="85"/>
      <c r="L35" s="85"/>
      <c r="M35" s="86"/>
      <c r="N35" s="85"/>
      <c r="O35" s="85"/>
      <c r="P35" s="86"/>
    </row>
    <row r="36" spans="1:16" ht="15.75">
      <c r="A36" s="87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7" spans="1:16" ht="15.75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 ht="15.75">
      <c r="A38" s="87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15.7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</row>
    <row r="40" spans="1:16" ht="15.75">
      <c r="A40" s="87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</row>
    <row r="41" spans="1:16" ht="15.75">
      <c r="A41" s="87"/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</row>
    <row r="42" spans="1:16" ht="18.75">
      <c r="A42" s="154" t="s">
        <v>132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</row>
    <row r="43" spans="1:16" ht="18.75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</row>
    <row r="44" spans="1:16" ht="18.75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</row>
    <row r="45" spans="1:16" ht="13.5" thickBot="1">
      <c r="A45" s="155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7"/>
    </row>
    <row r="46" spans="1:16" ht="15" customHeight="1">
      <c r="A46" s="61"/>
      <c r="B46" s="164" t="s">
        <v>6</v>
      </c>
      <c r="C46" s="162"/>
      <c r="D46" s="165"/>
      <c r="E46" s="161" t="s">
        <v>7</v>
      </c>
      <c r="F46" s="162"/>
      <c r="G46" s="163"/>
      <c r="H46" s="164" t="s">
        <v>95</v>
      </c>
      <c r="I46" s="162"/>
      <c r="J46" s="165"/>
      <c r="K46" s="164" t="s">
        <v>8</v>
      </c>
      <c r="L46" s="162"/>
      <c r="M46" s="165"/>
      <c r="N46" s="161" t="s">
        <v>9</v>
      </c>
      <c r="O46" s="162"/>
      <c r="P46" s="165"/>
    </row>
    <row r="47" spans="1:16" ht="15.75">
      <c r="A47" s="62"/>
      <c r="B47" s="63">
        <v>40633</v>
      </c>
      <c r="C47" s="64">
        <v>40543</v>
      </c>
      <c r="D47" s="65">
        <v>40268</v>
      </c>
      <c r="E47" s="63">
        <v>40633</v>
      </c>
      <c r="F47" s="64">
        <v>40543</v>
      </c>
      <c r="G47" s="65">
        <v>40268</v>
      </c>
      <c r="H47" s="63">
        <v>40633</v>
      </c>
      <c r="I47" s="64">
        <v>40543</v>
      </c>
      <c r="J47" s="65">
        <v>40268</v>
      </c>
      <c r="K47" s="63">
        <v>40633</v>
      </c>
      <c r="L47" s="64">
        <v>40543</v>
      </c>
      <c r="M47" s="65">
        <v>40268</v>
      </c>
      <c r="N47" s="63">
        <v>40633</v>
      </c>
      <c r="O47" s="64">
        <v>40543</v>
      </c>
      <c r="P47" s="65">
        <v>40268</v>
      </c>
    </row>
    <row r="48" spans="1:16" ht="15.75">
      <c r="A48" s="66" t="s">
        <v>107</v>
      </c>
      <c r="B48" s="67"/>
      <c r="C48" s="68"/>
      <c r="D48" s="69"/>
      <c r="E48" s="70"/>
      <c r="F48" s="68"/>
      <c r="G48" s="71"/>
      <c r="H48" s="67"/>
      <c r="I48" s="68"/>
      <c r="J48" s="69"/>
      <c r="K48" s="67"/>
      <c r="L48" s="68"/>
      <c r="M48" s="69"/>
      <c r="N48" s="70"/>
      <c r="O48" s="68"/>
      <c r="P48" s="69"/>
    </row>
    <row r="49" spans="1:16" ht="15.75">
      <c r="A49" s="72" t="s">
        <v>108</v>
      </c>
      <c r="B49" s="67">
        <v>1.14</v>
      </c>
      <c r="C49" s="68">
        <v>1.16</v>
      </c>
      <c r="D49" s="69">
        <v>1.56</v>
      </c>
      <c r="E49" s="68">
        <v>4.73</v>
      </c>
      <c r="F49" s="68">
        <v>4.46</v>
      </c>
      <c r="G49" s="69">
        <v>8.89</v>
      </c>
      <c r="H49" s="67">
        <v>1.12</v>
      </c>
      <c r="I49" s="68">
        <v>1.12</v>
      </c>
      <c r="J49" s="69">
        <v>1.06</v>
      </c>
      <c r="K49" s="71">
        <v>1.65</v>
      </c>
      <c r="L49" s="68">
        <v>1.6</v>
      </c>
      <c r="M49" s="69">
        <v>1.6</v>
      </c>
      <c r="N49" s="70">
        <v>0.73</v>
      </c>
      <c r="O49" s="68">
        <v>0.76</v>
      </c>
      <c r="P49" s="69">
        <v>1.11</v>
      </c>
    </row>
    <row r="50" spans="1:16" ht="15.75">
      <c r="A50" s="72" t="s">
        <v>109</v>
      </c>
      <c r="B50" s="67">
        <v>0.35</v>
      </c>
      <c r="C50" s="68">
        <v>0.6</v>
      </c>
      <c r="D50" s="69">
        <v>0.7</v>
      </c>
      <c r="E50" s="68">
        <v>3.04</v>
      </c>
      <c r="F50" s="68">
        <v>2.78</v>
      </c>
      <c r="G50" s="69">
        <v>5.89</v>
      </c>
      <c r="H50" s="67">
        <v>0.39</v>
      </c>
      <c r="I50" s="68">
        <v>0.43</v>
      </c>
      <c r="J50" s="69">
        <v>0.45</v>
      </c>
      <c r="K50" s="71">
        <v>1.35</v>
      </c>
      <c r="L50" s="68">
        <v>1.31</v>
      </c>
      <c r="M50" s="69">
        <v>1.19</v>
      </c>
      <c r="N50" s="70">
        <v>0.51</v>
      </c>
      <c r="O50" s="68">
        <v>0.27</v>
      </c>
      <c r="P50" s="69">
        <v>0.38</v>
      </c>
    </row>
    <row r="51" spans="1:16" ht="15.75">
      <c r="A51" s="72" t="s">
        <v>110</v>
      </c>
      <c r="B51" s="67">
        <v>0.08</v>
      </c>
      <c r="C51" s="68">
        <v>0.07</v>
      </c>
      <c r="D51" s="69">
        <v>0.07</v>
      </c>
      <c r="E51" s="68">
        <v>0.31</v>
      </c>
      <c r="F51" s="68">
        <v>0.14</v>
      </c>
      <c r="G51" s="69">
        <v>0.39</v>
      </c>
      <c r="H51" s="67">
        <v>0.07</v>
      </c>
      <c r="I51" s="68">
        <v>0.09</v>
      </c>
      <c r="J51" s="69">
        <v>0.06</v>
      </c>
      <c r="K51" s="71">
        <v>0.03</v>
      </c>
      <c r="L51" s="68">
        <v>0.39</v>
      </c>
      <c r="M51" s="69">
        <v>0.37</v>
      </c>
      <c r="N51" s="70">
        <v>0.07</v>
      </c>
      <c r="O51" s="68">
        <v>0.09</v>
      </c>
      <c r="P51" s="69">
        <v>0.14</v>
      </c>
    </row>
    <row r="52" spans="1:16" ht="15.75">
      <c r="A52" s="72"/>
      <c r="B52" s="67"/>
      <c r="C52" s="68"/>
      <c r="D52" s="69"/>
      <c r="E52" s="68"/>
      <c r="F52" s="68"/>
      <c r="G52" s="69"/>
      <c r="H52" s="67"/>
      <c r="I52" s="68"/>
      <c r="J52" s="69"/>
      <c r="K52" s="71"/>
      <c r="L52" s="68"/>
      <c r="M52" s="69"/>
      <c r="N52" s="70"/>
      <c r="O52" s="68"/>
      <c r="P52" s="69"/>
    </row>
    <row r="53" spans="1:16" ht="15.75">
      <c r="A53" s="66" t="s">
        <v>111</v>
      </c>
      <c r="B53" s="67"/>
      <c r="C53" s="68"/>
      <c r="D53" s="69"/>
      <c r="E53" s="68"/>
      <c r="F53" s="68"/>
      <c r="G53" s="69"/>
      <c r="H53" s="67"/>
      <c r="I53" s="68"/>
      <c r="J53" s="69"/>
      <c r="K53" s="71"/>
      <c r="L53" s="68"/>
      <c r="M53" s="69"/>
      <c r="N53" s="70"/>
      <c r="O53" s="68"/>
      <c r="P53" s="69"/>
    </row>
    <row r="54" spans="1:16" ht="15.75">
      <c r="A54" s="72" t="s">
        <v>112</v>
      </c>
      <c r="B54" s="67">
        <v>3.77</v>
      </c>
      <c r="C54" s="68">
        <v>5.17</v>
      </c>
      <c r="D54" s="69">
        <v>2.24</v>
      </c>
      <c r="E54" s="68"/>
      <c r="F54" s="68"/>
      <c r="G54" s="69"/>
      <c r="H54" s="67"/>
      <c r="I54" s="68"/>
      <c r="J54" s="69"/>
      <c r="K54" s="71"/>
      <c r="L54" s="68"/>
      <c r="M54" s="69"/>
      <c r="N54" s="70">
        <v>2.17</v>
      </c>
      <c r="O54" s="68">
        <v>9</v>
      </c>
      <c r="P54" s="69">
        <v>2.12</v>
      </c>
    </row>
    <row r="55" spans="1:16" ht="15.75">
      <c r="A55" s="72" t="s">
        <v>113</v>
      </c>
      <c r="B55" s="73">
        <v>24</v>
      </c>
      <c r="C55" s="74">
        <v>71</v>
      </c>
      <c r="D55" s="75">
        <v>40</v>
      </c>
      <c r="E55" s="74"/>
      <c r="F55" s="74"/>
      <c r="G55" s="75"/>
      <c r="H55" s="73"/>
      <c r="I55" s="74"/>
      <c r="J55" s="75"/>
      <c r="K55" s="89"/>
      <c r="L55" s="74"/>
      <c r="M55" s="75"/>
      <c r="N55" s="90">
        <v>41</v>
      </c>
      <c r="O55" s="74">
        <v>41</v>
      </c>
      <c r="P55" s="75">
        <v>42</v>
      </c>
    </row>
    <row r="56" spans="1:16" ht="15.75">
      <c r="A56" s="72" t="s">
        <v>114</v>
      </c>
      <c r="B56" s="67">
        <v>0.58</v>
      </c>
      <c r="C56" s="68">
        <v>2.61</v>
      </c>
      <c r="D56" s="69">
        <v>0.56</v>
      </c>
      <c r="E56" s="68">
        <v>0.52</v>
      </c>
      <c r="F56" s="68">
        <v>1.84</v>
      </c>
      <c r="G56" s="69">
        <v>0.5</v>
      </c>
      <c r="H56" s="67">
        <v>0.37</v>
      </c>
      <c r="I56" s="68">
        <v>1.78</v>
      </c>
      <c r="J56" s="69">
        <v>0.42</v>
      </c>
      <c r="K56" s="71">
        <v>1.79</v>
      </c>
      <c r="L56" s="68">
        <v>8.85</v>
      </c>
      <c r="M56" s="69">
        <v>1.49</v>
      </c>
      <c r="N56" s="70">
        <v>1.3</v>
      </c>
      <c r="O56" s="68">
        <v>5.2</v>
      </c>
      <c r="P56" s="69">
        <v>1.21</v>
      </c>
    </row>
    <row r="57" spans="1:16" ht="15.75">
      <c r="A57" s="72" t="s">
        <v>115</v>
      </c>
      <c r="B57" s="73">
        <v>155</v>
      </c>
      <c r="C57" s="74">
        <v>140</v>
      </c>
      <c r="D57" s="75">
        <v>161</v>
      </c>
      <c r="E57" s="74">
        <v>173</v>
      </c>
      <c r="F57" s="74">
        <v>198</v>
      </c>
      <c r="G57" s="75">
        <v>180</v>
      </c>
      <c r="H57" s="73">
        <v>243</v>
      </c>
      <c r="I57" s="74">
        <v>205</v>
      </c>
      <c r="J57" s="75">
        <v>214</v>
      </c>
      <c r="K57" s="89">
        <v>50</v>
      </c>
      <c r="L57" s="74">
        <v>41</v>
      </c>
      <c r="M57" s="75">
        <v>60</v>
      </c>
      <c r="N57" s="90">
        <v>69</v>
      </c>
      <c r="O57" s="74">
        <v>70</v>
      </c>
      <c r="P57" s="75">
        <v>74</v>
      </c>
    </row>
    <row r="58" spans="1:16" ht="15.75">
      <c r="A58" s="72" t="s">
        <v>116</v>
      </c>
      <c r="B58" s="67">
        <v>0.8</v>
      </c>
      <c r="C58" s="68">
        <v>3.13</v>
      </c>
      <c r="D58" s="69">
        <v>0.87</v>
      </c>
      <c r="E58" s="68">
        <v>0.58</v>
      </c>
      <c r="F58" s="68">
        <v>2.1</v>
      </c>
      <c r="G58" s="69">
        <v>0.55</v>
      </c>
      <c r="H58" s="67">
        <v>1.21</v>
      </c>
      <c r="I58" s="68">
        <v>6.78</v>
      </c>
      <c r="J58" s="69">
        <v>1.48</v>
      </c>
      <c r="K58" s="71">
        <v>0.68</v>
      </c>
      <c r="L58" s="68">
        <v>3.55</v>
      </c>
      <c r="M58" s="69">
        <v>0.64</v>
      </c>
      <c r="N58" s="70">
        <v>3.06</v>
      </c>
      <c r="O58" s="68">
        <v>11.7</v>
      </c>
      <c r="P58" s="69">
        <v>1.99</v>
      </c>
    </row>
    <row r="59" spans="1:16" ht="15.75">
      <c r="A59" s="72" t="s">
        <v>117</v>
      </c>
      <c r="B59" s="73">
        <v>113</v>
      </c>
      <c r="C59" s="74">
        <v>117</v>
      </c>
      <c r="D59" s="75">
        <v>103</v>
      </c>
      <c r="E59" s="74">
        <v>155</v>
      </c>
      <c r="F59" s="74">
        <v>174</v>
      </c>
      <c r="G59" s="75">
        <v>164</v>
      </c>
      <c r="H59" s="73">
        <v>74</v>
      </c>
      <c r="I59" s="74">
        <v>54</v>
      </c>
      <c r="J59" s="75">
        <v>61</v>
      </c>
      <c r="K59" s="89">
        <v>132</v>
      </c>
      <c r="L59" s="74">
        <v>103</v>
      </c>
      <c r="M59" s="75">
        <v>140</v>
      </c>
      <c r="N59" s="90">
        <v>29</v>
      </c>
      <c r="O59" s="74">
        <v>31</v>
      </c>
      <c r="P59" s="75">
        <v>45</v>
      </c>
    </row>
    <row r="60" spans="1:16" ht="15.75">
      <c r="A60" s="72" t="s">
        <v>118</v>
      </c>
      <c r="B60" s="67">
        <v>0.78</v>
      </c>
      <c r="C60" s="68">
        <v>3.25</v>
      </c>
      <c r="D60" s="69">
        <v>0.9</v>
      </c>
      <c r="E60" s="68">
        <v>4.9</v>
      </c>
      <c r="F60" s="68">
        <v>19</v>
      </c>
      <c r="G60" s="69">
        <v>5.08</v>
      </c>
      <c r="H60" s="67">
        <v>1.41</v>
      </c>
      <c r="I60" s="68">
        <v>5.98</v>
      </c>
      <c r="J60" s="69">
        <v>0.91</v>
      </c>
      <c r="K60" s="71">
        <v>0.84</v>
      </c>
      <c r="L60" s="68">
        <v>4.54</v>
      </c>
      <c r="M60" s="69">
        <v>1.02</v>
      </c>
      <c r="N60" s="70">
        <v>1.38</v>
      </c>
      <c r="O60" s="68">
        <v>6.31</v>
      </c>
      <c r="P60" s="69">
        <v>1.18</v>
      </c>
    </row>
    <row r="61" spans="1:16" ht="15.75">
      <c r="A61" s="72" t="s">
        <v>119</v>
      </c>
      <c r="B61" s="73">
        <v>115</v>
      </c>
      <c r="C61" s="74">
        <v>112</v>
      </c>
      <c r="D61" s="75">
        <v>100</v>
      </c>
      <c r="E61" s="74">
        <v>18</v>
      </c>
      <c r="F61" s="74">
        <v>20</v>
      </c>
      <c r="G61" s="75">
        <v>18</v>
      </c>
      <c r="H61" s="73">
        <v>64</v>
      </c>
      <c r="I61" s="74">
        <v>61</v>
      </c>
      <c r="J61" s="75">
        <v>99</v>
      </c>
      <c r="K61" s="89">
        <v>107</v>
      </c>
      <c r="L61" s="74">
        <v>80</v>
      </c>
      <c r="M61" s="75">
        <v>88</v>
      </c>
      <c r="N61" s="90">
        <v>65</v>
      </c>
      <c r="O61" s="74">
        <v>58</v>
      </c>
      <c r="P61" s="75">
        <v>76</v>
      </c>
    </row>
    <row r="62" spans="1:16" ht="15.75">
      <c r="A62" s="72"/>
      <c r="B62" s="67"/>
      <c r="C62" s="68"/>
      <c r="D62" s="69"/>
      <c r="E62" s="68"/>
      <c r="F62" s="68"/>
      <c r="G62" s="69"/>
      <c r="H62" s="67"/>
      <c r="I62" s="68"/>
      <c r="J62" s="69"/>
      <c r="K62" s="71"/>
      <c r="L62" s="68"/>
      <c r="M62" s="69"/>
      <c r="N62" s="70"/>
      <c r="O62" s="68"/>
      <c r="P62" s="69"/>
    </row>
    <row r="63" spans="1:16" ht="15.75">
      <c r="A63" s="66" t="s">
        <v>120</v>
      </c>
      <c r="B63" s="67"/>
      <c r="C63" s="68"/>
      <c r="D63" s="69"/>
      <c r="E63" s="68"/>
      <c r="F63" s="68"/>
      <c r="G63" s="69"/>
      <c r="H63" s="67"/>
      <c r="I63" s="68"/>
      <c r="J63" s="69"/>
      <c r="K63" s="71"/>
      <c r="L63" s="68"/>
      <c r="M63" s="69"/>
      <c r="N63" s="70"/>
      <c r="O63" s="68"/>
      <c r="P63" s="69"/>
    </row>
    <row r="64" spans="1:16" ht="15.75">
      <c r="A64" s="72" t="s">
        <v>121</v>
      </c>
      <c r="B64" s="67"/>
      <c r="C64" s="68"/>
      <c r="D64" s="69"/>
      <c r="E64" s="68">
        <v>18.91</v>
      </c>
      <c r="F64" s="68">
        <v>14.07</v>
      </c>
      <c r="G64" s="69">
        <v>24.38</v>
      </c>
      <c r="H64" s="67">
        <v>5.04</v>
      </c>
      <c r="I64" s="68">
        <v>3.8</v>
      </c>
      <c r="J64" s="69">
        <v>3.49</v>
      </c>
      <c r="K64" s="71">
        <v>0.02</v>
      </c>
      <c r="L64" s="68">
        <v>2.27</v>
      </c>
      <c r="M64" s="69">
        <v>0.02</v>
      </c>
      <c r="N64" s="70"/>
      <c r="O64" s="68">
        <v>0.11</v>
      </c>
      <c r="P64" s="69"/>
    </row>
    <row r="65" spans="1:16" ht="15.75">
      <c r="A65" s="72" t="s">
        <v>122</v>
      </c>
      <c r="B65" s="76"/>
      <c r="C65" s="77"/>
      <c r="D65" s="78"/>
      <c r="E65" s="77">
        <v>6.06</v>
      </c>
      <c r="F65" s="77">
        <v>15.52</v>
      </c>
      <c r="G65" s="78">
        <v>7.83</v>
      </c>
      <c r="H65" s="76">
        <v>1.8</v>
      </c>
      <c r="I65" s="68">
        <v>6.47</v>
      </c>
      <c r="J65" s="78">
        <v>1.46</v>
      </c>
      <c r="K65" s="91"/>
      <c r="L65" s="77">
        <v>3.22</v>
      </c>
      <c r="M65" s="78"/>
      <c r="N65" s="92"/>
      <c r="O65" s="77"/>
      <c r="P65" s="78"/>
    </row>
    <row r="66" spans="1:16" ht="15.75">
      <c r="A66" s="72" t="s">
        <v>123</v>
      </c>
      <c r="B66" s="76"/>
      <c r="C66" s="77"/>
      <c r="D66" s="78"/>
      <c r="E66" s="77">
        <v>8.63</v>
      </c>
      <c r="F66" s="77">
        <v>21.52</v>
      </c>
      <c r="G66" s="78">
        <v>10.36</v>
      </c>
      <c r="H66" s="76">
        <v>10.12</v>
      </c>
      <c r="I66" s="77">
        <v>37.7</v>
      </c>
      <c r="J66" s="78">
        <v>9.24</v>
      </c>
      <c r="K66" s="91">
        <v>0.01</v>
      </c>
      <c r="L66" s="77">
        <v>6.54</v>
      </c>
      <c r="M66" s="78">
        <v>0.02</v>
      </c>
      <c r="N66" s="92"/>
      <c r="O66" s="77"/>
      <c r="P66" s="78"/>
    </row>
    <row r="67" spans="1:16" ht="15.75">
      <c r="A67" s="72"/>
      <c r="B67" s="76"/>
      <c r="C67" s="77"/>
      <c r="D67" s="78"/>
      <c r="E67" s="77"/>
      <c r="F67" s="77"/>
      <c r="G67" s="78"/>
      <c r="H67" s="76"/>
      <c r="I67" s="77"/>
      <c r="J67" s="78"/>
      <c r="K67" s="91"/>
      <c r="L67" s="77"/>
      <c r="M67" s="78"/>
      <c r="N67" s="92"/>
      <c r="O67" s="77"/>
      <c r="P67" s="78"/>
    </row>
    <row r="68" spans="1:16" ht="15.75">
      <c r="A68" s="66" t="s">
        <v>133</v>
      </c>
      <c r="B68" s="76"/>
      <c r="C68" s="77"/>
      <c r="D68" s="78"/>
      <c r="E68" s="77"/>
      <c r="F68" s="77"/>
      <c r="G68" s="78"/>
      <c r="H68" s="76"/>
      <c r="I68" s="77"/>
      <c r="J68" s="78"/>
      <c r="K68" s="91"/>
      <c r="L68" s="77"/>
      <c r="M68" s="78"/>
      <c r="N68" s="92"/>
      <c r="O68" s="77"/>
      <c r="P68" s="78"/>
    </row>
    <row r="69" spans="1:16" ht="15.75">
      <c r="A69" s="72" t="s">
        <v>125</v>
      </c>
      <c r="B69" s="76">
        <v>0.12</v>
      </c>
      <c r="C69" s="77">
        <v>0.13</v>
      </c>
      <c r="D69" s="78">
        <v>0.16</v>
      </c>
      <c r="E69" s="77">
        <v>0.7</v>
      </c>
      <c r="F69" s="77">
        <v>0.7</v>
      </c>
      <c r="G69" s="78">
        <v>0.77</v>
      </c>
      <c r="H69" s="76">
        <v>0.17</v>
      </c>
      <c r="I69" s="77">
        <v>0.19</v>
      </c>
      <c r="J69" s="78">
        <v>0.16</v>
      </c>
      <c r="K69" s="91">
        <v>0.51</v>
      </c>
      <c r="L69" s="77">
        <v>0.49</v>
      </c>
      <c r="M69" s="78">
        <v>0.49</v>
      </c>
      <c r="N69" s="92">
        <v>0.54</v>
      </c>
      <c r="O69" s="77">
        <v>0.53</v>
      </c>
      <c r="P69" s="78">
        <v>0.53</v>
      </c>
    </row>
    <row r="70" spans="1:16" ht="15.75">
      <c r="A70" s="72" t="s">
        <v>126</v>
      </c>
      <c r="B70" s="76">
        <v>0.88</v>
      </c>
      <c r="C70" s="77">
        <v>0.87</v>
      </c>
      <c r="D70" s="78">
        <v>0.84</v>
      </c>
      <c r="E70" s="77">
        <v>0.3</v>
      </c>
      <c r="F70" s="77">
        <v>0.3</v>
      </c>
      <c r="G70" s="78">
        <v>0.23</v>
      </c>
      <c r="H70" s="76">
        <v>0.83</v>
      </c>
      <c r="I70" s="77">
        <v>0.81</v>
      </c>
      <c r="J70" s="78">
        <v>0.84</v>
      </c>
      <c r="K70" s="91">
        <v>0.48</v>
      </c>
      <c r="L70" s="77">
        <v>0.51</v>
      </c>
      <c r="M70" s="78">
        <v>0.5</v>
      </c>
      <c r="N70" s="92">
        <v>0.46</v>
      </c>
      <c r="O70" s="77">
        <v>0.47</v>
      </c>
      <c r="P70" s="78">
        <v>0.47</v>
      </c>
    </row>
    <row r="71" spans="1:16" ht="15.75">
      <c r="A71" s="72" t="s">
        <v>127</v>
      </c>
      <c r="B71" s="76">
        <v>0.26</v>
      </c>
      <c r="C71" s="77">
        <v>0.31</v>
      </c>
      <c r="D71" s="78">
        <v>0.66</v>
      </c>
      <c r="E71" s="77">
        <v>2.16</v>
      </c>
      <c r="F71" s="77">
        <v>2.02</v>
      </c>
      <c r="G71" s="78">
        <v>2.54</v>
      </c>
      <c r="H71" s="76">
        <v>0.25</v>
      </c>
      <c r="I71" s="77">
        <v>0.29</v>
      </c>
      <c r="J71" s="78">
        <v>0.26</v>
      </c>
      <c r="K71" s="91">
        <v>1.36</v>
      </c>
      <c r="L71" s="77">
        <v>1.36</v>
      </c>
      <c r="M71" s="78">
        <v>1.94</v>
      </c>
      <c r="N71" s="92">
        <v>0.63</v>
      </c>
      <c r="O71" s="77">
        <v>0.64</v>
      </c>
      <c r="P71" s="78">
        <v>0.82</v>
      </c>
    </row>
    <row r="72" spans="1:16" ht="15.75">
      <c r="A72" s="72" t="s">
        <v>128</v>
      </c>
      <c r="B72" s="76">
        <v>8.87</v>
      </c>
      <c r="C72" s="77">
        <v>9.85</v>
      </c>
      <c r="D72" s="78">
        <v>22.39</v>
      </c>
      <c r="E72" s="77">
        <v>57.42</v>
      </c>
      <c r="F72" s="77">
        <v>45.27</v>
      </c>
      <c r="G72" s="78">
        <v>45.19</v>
      </c>
      <c r="H72" s="76">
        <v>2.53</v>
      </c>
      <c r="I72" s="77">
        <v>2.17</v>
      </c>
      <c r="J72" s="78">
        <v>1.44</v>
      </c>
      <c r="K72" s="91">
        <v>1.86</v>
      </c>
      <c r="L72" s="77">
        <v>1.91</v>
      </c>
      <c r="M72" s="78">
        <v>2.05</v>
      </c>
      <c r="N72" s="92">
        <v>0.78</v>
      </c>
      <c r="O72" s="77">
        <v>0.78</v>
      </c>
      <c r="P72" s="78">
        <v>0.98</v>
      </c>
    </row>
    <row r="73" spans="1:16" ht="15.75">
      <c r="A73" s="72" t="s">
        <v>129</v>
      </c>
      <c r="B73" s="79"/>
      <c r="C73" s="80"/>
      <c r="D73" s="81"/>
      <c r="E73" s="80">
        <v>3.82</v>
      </c>
      <c r="F73" s="80">
        <v>1.25</v>
      </c>
      <c r="G73" s="81">
        <v>2.02</v>
      </c>
      <c r="H73" s="79">
        <v>26.48</v>
      </c>
      <c r="I73" s="80">
        <v>6.7</v>
      </c>
      <c r="J73" s="81">
        <v>25.4</v>
      </c>
      <c r="K73" s="93">
        <v>10.13</v>
      </c>
      <c r="L73" s="80">
        <v>1.72</v>
      </c>
      <c r="M73" s="81">
        <v>9.4</v>
      </c>
      <c r="N73" s="94"/>
      <c r="O73" s="80">
        <v>5.49</v>
      </c>
      <c r="P73" s="81"/>
    </row>
    <row r="74" spans="1:16" ht="15.75">
      <c r="A74" s="72" t="s">
        <v>130</v>
      </c>
      <c r="B74" s="76"/>
      <c r="C74" s="77"/>
      <c r="D74" s="78"/>
      <c r="E74" s="77">
        <v>9.95</v>
      </c>
      <c r="F74" s="77">
        <v>11.7</v>
      </c>
      <c r="G74" s="78">
        <v>16.52</v>
      </c>
      <c r="H74" s="76">
        <v>2.46</v>
      </c>
      <c r="I74" s="77">
        <v>1.58</v>
      </c>
      <c r="J74" s="78">
        <v>2.37</v>
      </c>
      <c r="K74" s="91">
        <v>0.52</v>
      </c>
      <c r="L74" s="77">
        <v>6.3</v>
      </c>
      <c r="M74" s="78">
        <v>4.09</v>
      </c>
      <c r="N74" s="92"/>
      <c r="O74" s="77">
        <v>0.25</v>
      </c>
      <c r="P74" s="78"/>
    </row>
    <row r="75" spans="1:16" ht="15.75">
      <c r="A75" s="72" t="s">
        <v>131</v>
      </c>
      <c r="B75" s="76">
        <v>7.69</v>
      </c>
      <c r="C75" s="77">
        <v>6.94</v>
      </c>
      <c r="D75" s="78">
        <v>5.11</v>
      </c>
      <c r="E75" s="77">
        <v>0.42</v>
      </c>
      <c r="F75" s="77">
        <v>0.43</v>
      </c>
      <c r="G75" s="78">
        <v>0.3</v>
      </c>
      <c r="H75" s="76">
        <v>4.89</v>
      </c>
      <c r="I75" s="77">
        <v>4.31</v>
      </c>
      <c r="J75" s="78">
        <v>5.1</v>
      </c>
      <c r="K75" s="91">
        <v>0.94</v>
      </c>
      <c r="L75" s="77">
        <v>1.03</v>
      </c>
      <c r="M75" s="78">
        <v>1.02</v>
      </c>
      <c r="N75" s="92">
        <v>0.86</v>
      </c>
      <c r="O75" s="77">
        <v>0.89</v>
      </c>
      <c r="P75" s="78">
        <v>0.87</v>
      </c>
    </row>
    <row r="76" spans="1:16" ht="16.5" thickBot="1">
      <c r="A76" s="83"/>
      <c r="B76" s="84"/>
      <c r="C76" s="85"/>
      <c r="D76" s="86"/>
      <c r="E76" s="85"/>
      <c r="F76" s="85"/>
      <c r="G76" s="86"/>
      <c r="H76" s="84"/>
      <c r="I76" s="85"/>
      <c r="J76" s="86"/>
      <c r="K76" s="85"/>
      <c r="L76" s="85"/>
      <c r="M76" s="86"/>
      <c r="N76" s="95"/>
      <c r="O76" s="85"/>
      <c r="P76" s="86"/>
    </row>
    <row r="77" spans="1:16" ht="15.75">
      <c r="A77" s="87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</row>
    <row r="78" spans="1:16" ht="15.75">
      <c r="A78" s="87"/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</row>
    <row r="79" spans="1:16" ht="15.75">
      <c r="A79" s="87"/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</row>
    <row r="80" spans="1:16" ht="15.75">
      <c r="A80" s="87"/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</row>
    <row r="81" spans="1:16" ht="15.75">
      <c r="A81" s="87"/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</row>
    <row r="82" spans="1:16" ht="15.75">
      <c r="A82" s="87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</row>
    <row r="83" spans="1:16" ht="18.75">
      <c r="A83" s="154" t="s">
        <v>134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</row>
    <row r="84" spans="1:16" ht="18.75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</row>
    <row r="85" spans="1:16" ht="18.75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</row>
    <row r="86" spans="1:16" ht="13.5" thickBot="1">
      <c r="A86" s="166"/>
      <c r="B86" s="166"/>
      <c r="C86" s="166"/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</row>
    <row r="87" spans="1:16" ht="27.75" customHeight="1">
      <c r="A87" s="61"/>
      <c r="B87" s="158" t="s">
        <v>135</v>
      </c>
      <c r="C87" s="159"/>
      <c r="D87" s="160"/>
      <c r="E87" s="161" t="s">
        <v>136</v>
      </c>
      <c r="F87" s="162"/>
      <c r="G87" s="163"/>
      <c r="H87" s="164" t="s">
        <v>137</v>
      </c>
      <c r="I87" s="162"/>
      <c r="J87" s="165"/>
      <c r="K87" s="167"/>
      <c r="L87" s="168"/>
      <c r="M87" s="168"/>
      <c r="N87" s="168"/>
      <c r="O87" s="168"/>
      <c r="P87" s="168"/>
    </row>
    <row r="88" spans="1:16" ht="15.75">
      <c r="A88" s="62"/>
      <c r="B88" s="63">
        <v>40633</v>
      </c>
      <c r="C88" s="64">
        <v>40543</v>
      </c>
      <c r="D88" s="65">
        <v>40268</v>
      </c>
      <c r="E88" s="63">
        <v>40633</v>
      </c>
      <c r="F88" s="64">
        <v>40543</v>
      </c>
      <c r="G88" s="65">
        <v>40268</v>
      </c>
      <c r="H88" s="63">
        <v>40633</v>
      </c>
      <c r="I88" s="64">
        <v>40543</v>
      </c>
      <c r="J88" s="65">
        <v>40268</v>
      </c>
      <c r="K88" s="97"/>
      <c r="L88" s="98"/>
      <c r="M88" s="98"/>
      <c r="N88" s="98"/>
      <c r="O88" s="98"/>
      <c r="P88" s="98"/>
    </row>
    <row r="89" spans="1:16" ht="15.75">
      <c r="A89" s="66" t="s">
        <v>107</v>
      </c>
      <c r="B89" s="99"/>
      <c r="C89" s="100"/>
      <c r="D89" s="101"/>
      <c r="E89" s="102"/>
      <c r="F89" s="100"/>
      <c r="G89" s="103"/>
      <c r="H89" s="99"/>
      <c r="I89" s="100"/>
      <c r="J89" s="101"/>
      <c r="K89" s="104"/>
      <c r="L89" s="105"/>
      <c r="M89" s="105"/>
      <c r="N89" s="105"/>
      <c r="O89" s="105"/>
      <c r="P89" s="105"/>
    </row>
    <row r="90" spans="1:16" ht="15.75">
      <c r="A90" s="72" t="s">
        <v>108</v>
      </c>
      <c r="B90" s="67">
        <v>1.9</v>
      </c>
      <c r="C90" s="68">
        <v>1.6</v>
      </c>
      <c r="D90" s="69">
        <v>1.24</v>
      </c>
      <c r="E90" s="68">
        <v>1.26</v>
      </c>
      <c r="F90" s="68">
        <v>1.22</v>
      </c>
      <c r="G90" s="69">
        <v>1.18</v>
      </c>
      <c r="H90" s="68">
        <v>1</v>
      </c>
      <c r="I90" s="68">
        <v>1</v>
      </c>
      <c r="J90" s="69">
        <v>1.07</v>
      </c>
      <c r="K90" s="104"/>
      <c r="L90" s="105"/>
      <c r="M90" s="105"/>
      <c r="N90" s="105"/>
      <c r="O90" s="105"/>
      <c r="P90" s="105"/>
    </row>
    <row r="91" spans="1:16" ht="15.75">
      <c r="A91" s="72" t="s">
        <v>109</v>
      </c>
      <c r="B91" s="67">
        <v>1.55</v>
      </c>
      <c r="C91" s="68">
        <v>1.39</v>
      </c>
      <c r="D91" s="69">
        <v>0.99</v>
      </c>
      <c r="E91" s="68">
        <v>0.79</v>
      </c>
      <c r="F91" s="68">
        <v>0.81</v>
      </c>
      <c r="G91" s="69">
        <v>0.84</v>
      </c>
      <c r="H91" s="68">
        <v>0.78</v>
      </c>
      <c r="I91" s="68">
        <v>0.82</v>
      </c>
      <c r="J91" s="69">
        <v>0.87</v>
      </c>
      <c r="K91" s="104"/>
      <c r="L91" s="105"/>
      <c r="M91" s="105"/>
      <c r="N91" s="105"/>
      <c r="O91" s="105"/>
      <c r="P91" s="105"/>
    </row>
    <row r="92" spans="1:16" ht="15.75">
      <c r="A92" s="72" t="s">
        <v>110</v>
      </c>
      <c r="B92" s="67">
        <v>0.44</v>
      </c>
      <c r="C92" s="68">
        <v>0.2</v>
      </c>
      <c r="D92" s="69">
        <v>0.1</v>
      </c>
      <c r="E92" s="68">
        <v>0.03</v>
      </c>
      <c r="F92" s="68">
        <v>0.01</v>
      </c>
      <c r="G92" s="69">
        <v>0.03</v>
      </c>
      <c r="H92" s="68">
        <v>0.01</v>
      </c>
      <c r="I92" s="68">
        <v>0.02</v>
      </c>
      <c r="J92" s="69">
        <v>0.02</v>
      </c>
      <c r="K92" s="104"/>
      <c r="L92" s="105"/>
      <c r="M92" s="105"/>
      <c r="N92" s="105"/>
      <c r="O92" s="105"/>
      <c r="P92" s="105"/>
    </row>
    <row r="93" spans="1:16" ht="15.75">
      <c r="A93" s="72"/>
      <c r="B93" s="67"/>
      <c r="C93" s="68"/>
      <c r="D93" s="69"/>
      <c r="E93" s="68"/>
      <c r="F93" s="68"/>
      <c r="G93" s="69"/>
      <c r="H93" s="68"/>
      <c r="I93" s="68"/>
      <c r="J93" s="69"/>
      <c r="K93" s="104"/>
      <c r="L93" s="105"/>
      <c r="M93" s="105"/>
      <c r="N93" s="105"/>
      <c r="O93" s="105"/>
      <c r="P93" s="105"/>
    </row>
    <row r="94" spans="1:16" ht="15.75">
      <c r="A94" s="66" t="s">
        <v>111</v>
      </c>
      <c r="B94" s="67"/>
      <c r="C94" s="68"/>
      <c r="D94" s="69"/>
      <c r="E94" s="68"/>
      <c r="F94" s="68"/>
      <c r="G94" s="69"/>
      <c r="H94" s="68"/>
      <c r="I94" s="68"/>
      <c r="J94" s="69"/>
      <c r="K94" s="104"/>
      <c r="L94" s="105"/>
      <c r="M94" s="105"/>
      <c r="N94" s="105"/>
      <c r="O94" s="105"/>
      <c r="P94" s="105"/>
    </row>
    <row r="95" spans="1:16" ht="15.75">
      <c r="A95" s="72" t="s">
        <v>112</v>
      </c>
      <c r="B95" s="67"/>
      <c r="C95" s="68"/>
      <c r="D95" s="69"/>
      <c r="E95" s="68"/>
      <c r="F95" s="68"/>
      <c r="G95" s="69"/>
      <c r="H95" s="68"/>
      <c r="I95" s="68"/>
      <c r="J95" s="69"/>
      <c r="K95" s="104"/>
      <c r="L95" s="105"/>
      <c r="M95" s="105"/>
      <c r="N95" s="105"/>
      <c r="O95" s="105"/>
      <c r="P95" s="105"/>
    </row>
    <row r="96" spans="1:16" ht="15.75">
      <c r="A96" s="72" t="s">
        <v>113</v>
      </c>
      <c r="B96" s="73"/>
      <c r="C96" s="74"/>
      <c r="D96" s="75"/>
      <c r="E96" s="74"/>
      <c r="F96" s="74"/>
      <c r="G96" s="75"/>
      <c r="H96" s="74"/>
      <c r="I96" s="74"/>
      <c r="J96" s="75"/>
      <c r="K96" s="106"/>
      <c r="L96" s="107"/>
      <c r="M96" s="107"/>
      <c r="N96" s="107"/>
      <c r="O96" s="107"/>
      <c r="P96" s="107"/>
    </row>
    <row r="97" spans="1:16" ht="15.75">
      <c r="A97" s="72" t="s">
        <v>114</v>
      </c>
      <c r="B97" s="67">
        <v>3.7</v>
      </c>
      <c r="C97" s="68">
        <v>12.75</v>
      </c>
      <c r="D97" s="69">
        <v>3.01</v>
      </c>
      <c r="E97" s="68">
        <v>1</v>
      </c>
      <c r="F97" s="68">
        <v>6</v>
      </c>
      <c r="G97" s="69">
        <v>1.31</v>
      </c>
      <c r="H97" s="68">
        <v>0.91</v>
      </c>
      <c r="I97" s="68">
        <v>4.8</v>
      </c>
      <c r="J97" s="69">
        <v>1.38</v>
      </c>
      <c r="K97" s="104"/>
      <c r="L97" s="105"/>
      <c r="M97" s="105"/>
      <c r="N97" s="105"/>
      <c r="O97" s="105"/>
      <c r="P97" s="105"/>
    </row>
    <row r="98" spans="1:16" ht="15.75">
      <c r="A98" s="72" t="s">
        <v>115</v>
      </c>
      <c r="B98" s="73">
        <v>24</v>
      </c>
      <c r="C98" s="74">
        <v>29</v>
      </c>
      <c r="D98" s="75">
        <v>30</v>
      </c>
      <c r="E98" s="74">
        <v>90</v>
      </c>
      <c r="F98" s="74">
        <v>61</v>
      </c>
      <c r="G98" s="75">
        <v>69</v>
      </c>
      <c r="H98" s="74">
        <v>99</v>
      </c>
      <c r="I98" s="74">
        <v>76</v>
      </c>
      <c r="J98" s="75">
        <v>65.22</v>
      </c>
      <c r="K98" s="104"/>
      <c r="L98" s="105"/>
      <c r="M98" s="105"/>
      <c r="N98" s="105"/>
      <c r="O98" s="105"/>
      <c r="P98" s="105"/>
    </row>
    <row r="99" spans="1:16" ht="15.75">
      <c r="A99" s="72" t="s">
        <v>116</v>
      </c>
      <c r="B99" s="67">
        <v>1.4</v>
      </c>
      <c r="C99" s="68">
        <v>4.42</v>
      </c>
      <c r="D99" s="69">
        <v>1.22</v>
      </c>
      <c r="E99" s="68">
        <v>0.73</v>
      </c>
      <c r="F99" s="68">
        <v>3.21</v>
      </c>
      <c r="G99" s="69">
        <v>0.62</v>
      </c>
      <c r="H99" s="68">
        <v>0.36</v>
      </c>
      <c r="I99" s="68">
        <v>1.35</v>
      </c>
      <c r="J99" s="69">
        <v>0.38</v>
      </c>
      <c r="K99" s="108"/>
      <c r="L99" s="8"/>
      <c r="M99" s="8"/>
      <c r="N99" s="8"/>
      <c r="O99" s="8"/>
      <c r="P99" s="8"/>
    </row>
    <row r="100" spans="1:16" ht="15.75">
      <c r="A100" s="72" t="s">
        <v>117</v>
      </c>
      <c r="B100" s="73">
        <v>64</v>
      </c>
      <c r="C100" s="74">
        <v>83</v>
      </c>
      <c r="D100" s="75">
        <v>74</v>
      </c>
      <c r="E100" s="74">
        <v>123</v>
      </c>
      <c r="F100" s="74">
        <v>113</v>
      </c>
      <c r="G100" s="75">
        <v>145</v>
      </c>
      <c r="H100" s="74">
        <v>250</v>
      </c>
      <c r="I100" s="74">
        <v>270</v>
      </c>
      <c r="J100" s="75">
        <v>237</v>
      </c>
      <c r="K100" s="108"/>
      <c r="L100" s="8"/>
      <c r="M100" s="8"/>
      <c r="N100" s="8"/>
      <c r="O100" s="8"/>
      <c r="P100" s="8"/>
    </row>
    <row r="101" spans="1:16" ht="15.75">
      <c r="A101" s="72" t="s">
        <v>118</v>
      </c>
      <c r="B101" s="67">
        <v>1.33</v>
      </c>
      <c r="C101" s="68">
        <v>2.89</v>
      </c>
      <c r="D101" s="69">
        <v>0.95</v>
      </c>
      <c r="E101" s="68">
        <v>0.52</v>
      </c>
      <c r="F101" s="68">
        <v>2.52</v>
      </c>
      <c r="G101" s="69">
        <v>0.5</v>
      </c>
      <c r="H101" s="68">
        <v>0.34</v>
      </c>
      <c r="I101" s="68">
        <v>1.31</v>
      </c>
      <c r="J101" s="69">
        <v>0.38</v>
      </c>
      <c r="K101" s="104"/>
      <c r="L101" s="105"/>
      <c r="M101" s="105"/>
      <c r="N101" s="105"/>
      <c r="O101" s="105"/>
      <c r="P101" s="105"/>
    </row>
    <row r="102" spans="1:16" ht="15.75">
      <c r="A102" s="72" t="s">
        <v>119</v>
      </c>
      <c r="B102" s="73">
        <v>68</v>
      </c>
      <c r="C102" s="74">
        <v>126</v>
      </c>
      <c r="D102" s="75">
        <v>95</v>
      </c>
      <c r="E102" s="74">
        <v>173</v>
      </c>
      <c r="F102" s="74">
        <v>145</v>
      </c>
      <c r="G102" s="75">
        <v>180</v>
      </c>
      <c r="H102" s="74">
        <v>265</v>
      </c>
      <c r="I102" s="74">
        <v>279</v>
      </c>
      <c r="J102" s="75">
        <v>237</v>
      </c>
      <c r="K102" s="108"/>
      <c r="L102" s="8"/>
      <c r="M102" s="8"/>
      <c r="N102" s="8"/>
      <c r="O102" s="8"/>
      <c r="P102" s="8"/>
    </row>
    <row r="103" spans="1:16" ht="15.75">
      <c r="A103" s="72"/>
      <c r="B103" s="67"/>
      <c r="C103" s="68"/>
      <c r="D103" s="69"/>
      <c r="E103" s="68"/>
      <c r="F103" s="68"/>
      <c r="G103" s="69"/>
      <c r="H103" s="68"/>
      <c r="I103" s="68"/>
      <c r="J103" s="69"/>
      <c r="K103" s="104"/>
      <c r="L103" s="105"/>
      <c r="M103" s="105"/>
      <c r="N103" s="105"/>
      <c r="O103" s="105"/>
      <c r="P103" s="105"/>
    </row>
    <row r="104" spans="1:16" ht="15.75">
      <c r="A104" s="66" t="s">
        <v>120</v>
      </c>
      <c r="B104" s="67"/>
      <c r="C104" s="68"/>
      <c r="D104" s="69"/>
      <c r="E104" s="68"/>
      <c r="F104" s="68"/>
      <c r="G104" s="69"/>
      <c r="H104" s="68"/>
      <c r="I104" s="68"/>
      <c r="J104" s="69"/>
      <c r="K104" s="109"/>
      <c r="L104" s="110"/>
      <c r="M104" s="110"/>
      <c r="N104" s="110"/>
      <c r="O104" s="110"/>
      <c r="P104" s="110"/>
    </row>
    <row r="105" spans="1:16" ht="15.75">
      <c r="A105" s="72" t="s">
        <v>121</v>
      </c>
      <c r="B105" s="67">
        <v>12</v>
      </c>
      <c r="C105" s="68">
        <v>12.63</v>
      </c>
      <c r="D105" s="69">
        <v>18.59</v>
      </c>
      <c r="E105" s="68">
        <v>0.23</v>
      </c>
      <c r="F105" s="68">
        <v>2.14</v>
      </c>
      <c r="G105" s="69">
        <v>2.65</v>
      </c>
      <c r="H105" s="68">
        <v>0.34</v>
      </c>
      <c r="I105" s="68"/>
      <c r="J105" s="69">
        <v>12.47</v>
      </c>
      <c r="K105" s="108"/>
      <c r="L105" s="8"/>
      <c r="M105" s="8"/>
      <c r="N105" s="8"/>
      <c r="O105" s="8"/>
      <c r="P105" s="8"/>
    </row>
    <row r="106" spans="1:16" ht="15.75">
      <c r="A106" s="72" t="s">
        <v>122</v>
      </c>
      <c r="B106" s="76">
        <v>10.24</v>
      </c>
      <c r="C106" s="77">
        <v>33.58</v>
      </c>
      <c r="D106" s="78">
        <v>16.6</v>
      </c>
      <c r="E106" s="77">
        <v>0.11</v>
      </c>
      <c r="F106" s="77">
        <v>4.15</v>
      </c>
      <c r="G106" s="78">
        <v>1.12</v>
      </c>
      <c r="H106" s="77">
        <v>0.1</v>
      </c>
      <c r="I106" s="77"/>
      <c r="J106" s="78">
        <v>3.77</v>
      </c>
      <c r="K106" s="111"/>
      <c r="L106" s="60"/>
      <c r="M106" s="60"/>
      <c r="N106" s="60"/>
      <c r="O106" s="60"/>
      <c r="P106" s="60"/>
    </row>
    <row r="107" spans="1:16" ht="15.75">
      <c r="A107" s="72" t="s">
        <v>123</v>
      </c>
      <c r="B107" s="76">
        <v>23.49</v>
      </c>
      <c r="C107" s="77">
        <v>159.61</v>
      </c>
      <c r="D107" s="78">
        <v>131.75</v>
      </c>
      <c r="E107" s="77">
        <v>0.49</v>
      </c>
      <c r="F107" s="77">
        <v>22.09</v>
      </c>
      <c r="G107" s="78">
        <v>6.58</v>
      </c>
      <c r="H107" s="77">
        <v>5.42</v>
      </c>
      <c r="I107" s="77"/>
      <c r="J107" s="78">
        <v>65.06</v>
      </c>
      <c r="K107" s="111"/>
      <c r="L107" s="60"/>
      <c r="M107" s="60"/>
      <c r="N107" s="60"/>
      <c r="O107" s="60"/>
      <c r="P107" s="60"/>
    </row>
    <row r="108" spans="1:16" ht="15.75">
      <c r="A108" s="72"/>
      <c r="B108" s="76"/>
      <c r="C108" s="77"/>
      <c r="D108" s="78"/>
      <c r="E108" s="77"/>
      <c r="F108" s="77"/>
      <c r="G108" s="78"/>
      <c r="H108" s="77"/>
      <c r="I108" s="77"/>
      <c r="J108" s="78"/>
      <c r="K108" s="111"/>
      <c r="L108" s="60"/>
      <c r="M108" s="60"/>
      <c r="N108" s="60"/>
      <c r="O108" s="60"/>
      <c r="P108" s="60"/>
    </row>
    <row r="109" spans="1:16" ht="15.75">
      <c r="A109" s="66" t="s">
        <v>133</v>
      </c>
      <c r="B109" s="76"/>
      <c r="C109" s="77"/>
      <c r="D109" s="78"/>
      <c r="E109" s="77"/>
      <c r="F109" s="77"/>
      <c r="G109" s="78"/>
      <c r="H109" s="77"/>
      <c r="I109" s="77"/>
      <c r="J109" s="78"/>
      <c r="K109" s="112"/>
      <c r="L109" s="113"/>
      <c r="M109" s="113"/>
      <c r="N109" s="60"/>
      <c r="O109" s="60"/>
      <c r="P109" s="60"/>
    </row>
    <row r="110" spans="1:16" ht="15.75">
      <c r="A110" s="72" t="s">
        <v>125</v>
      </c>
      <c r="B110" s="76">
        <v>0.48</v>
      </c>
      <c r="C110" s="77">
        <v>0.39</v>
      </c>
      <c r="D110" s="78">
        <v>0.21</v>
      </c>
      <c r="E110" s="77">
        <v>0.22</v>
      </c>
      <c r="F110" s="77">
        <v>0.2</v>
      </c>
      <c r="G110" s="78">
        <v>0.16</v>
      </c>
      <c r="H110" s="77">
        <v>0.02</v>
      </c>
      <c r="I110" s="77">
        <v>0.02</v>
      </c>
      <c r="J110" s="78">
        <v>0.08</v>
      </c>
      <c r="K110" s="111"/>
      <c r="L110" s="60"/>
      <c r="M110" s="60"/>
      <c r="N110" s="60"/>
      <c r="O110" s="60"/>
      <c r="P110" s="60"/>
    </row>
    <row r="111" spans="1:16" ht="15.75">
      <c r="A111" s="72" t="s">
        <v>126</v>
      </c>
      <c r="B111" s="76">
        <v>0.52</v>
      </c>
      <c r="C111" s="77">
        <v>0.61</v>
      </c>
      <c r="D111" s="78">
        <v>0.79</v>
      </c>
      <c r="E111" s="77">
        <v>0.77</v>
      </c>
      <c r="F111" s="77">
        <v>0.8</v>
      </c>
      <c r="G111" s="78">
        <v>0.83</v>
      </c>
      <c r="H111" s="77">
        <v>0.98</v>
      </c>
      <c r="I111" s="77">
        <v>0.98</v>
      </c>
      <c r="J111" s="78">
        <v>0.92</v>
      </c>
      <c r="K111" s="111"/>
      <c r="L111" s="60"/>
      <c r="M111" s="60"/>
      <c r="N111" s="60"/>
      <c r="O111" s="60"/>
      <c r="P111" s="60"/>
    </row>
    <row r="112" spans="1:16" ht="15.75">
      <c r="A112" s="72" t="s">
        <v>127</v>
      </c>
      <c r="B112" s="76">
        <v>2.43</v>
      </c>
      <c r="C112" s="77">
        <v>2.6</v>
      </c>
      <c r="D112" s="78">
        <v>0.98</v>
      </c>
      <c r="E112" s="77">
        <v>0.58</v>
      </c>
      <c r="F112" s="77">
        <v>0.57</v>
      </c>
      <c r="G112" s="78">
        <v>0.57</v>
      </c>
      <c r="H112" s="77">
        <v>0.07</v>
      </c>
      <c r="I112" s="77">
        <v>0.08</v>
      </c>
      <c r="J112" s="78">
        <v>0.42</v>
      </c>
      <c r="K112" s="111"/>
      <c r="L112" s="60"/>
      <c r="M112" s="60"/>
      <c r="N112" s="60"/>
      <c r="O112" s="60"/>
      <c r="P112" s="60"/>
    </row>
    <row r="113" spans="1:16" ht="15.75">
      <c r="A113" s="72" t="s">
        <v>128</v>
      </c>
      <c r="B113" s="76">
        <v>27.13</v>
      </c>
      <c r="C113" s="77">
        <v>19.65</v>
      </c>
      <c r="D113" s="78">
        <v>10.79</v>
      </c>
      <c r="E113" s="77">
        <v>8.55</v>
      </c>
      <c r="F113" s="77">
        <v>7.64</v>
      </c>
      <c r="G113" s="78"/>
      <c r="H113" s="77">
        <v>1.27</v>
      </c>
      <c r="I113" s="77">
        <v>0.97</v>
      </c>
      <c r="J113" s="78">
        <v>6.59</v>
      </c>
      <c r="K113" s="111"/>
      <c r="L113" s="60"/>
      <c r="M113" s="60"/>
      <c r="N113" s="60"/>
      <c r="O113" s="60"/>
      <c r="P113" s="60"/>
    </row>
    <row r="114" spans="1:16" ht="15.75">
      <c r="A114" s="72" t="s">
        <v>129</v>
      </c>
      <c r="B114" s="76"/>
      <c r="C114" s="77">
        <v>0.18</v>
      </c>
      <c r="D114" s="78"/>
      <c r="E114" s="77"/>
      <c r="F114" s="77"/>
      <c r="G114" s="78"/>
      <c r="H114" s="80">
        <v>0.75</v>
      </c>
      <c r="I114" s="80"/>
      <c r="J114" s="81"/>
      <c r="K114" s="111"/>
      <c r="L114" s="60"/>
      <c r="M114" s="60"/>
      <c r="N114" s="60"/>
      <c r="O114" s="60"/>
      <c r="P114" s="60"/>
    </row>
    <row r="115" spans="1:16" ht="15.75">
      <c r="A115" s="72" t="s">
        <v>130</v>
      </c>
      <c r="B115" s="76"/>
      <c r="C115" s="77"/>
      <c r="D115" s="78"/>
      <c r="E115" s="77"/>
      <c r="F115" s="77"/>
      <c r="G115" s="78"/>
      <c r="H115" s="77">
        <v>5727</v>
      </c>
      <c r="I115" s="77">
        <v>109.62</v>
      </c>
      <c r="J115" s="78">
        <v>707.72</v>
      </c>
      <c r="K115" s="111"/>
      <c r="L115" s="60"/>
      <c r="M115" s="60"/>
      <c r="N115" s="60"/>
      <c r="O115" s="60"/>
      <c r="P115" s="60"/>
    </row>
    <row r="116" spans="1:16" ht="15.75">
      <c r="A116" s="72" t="s">
        <v>131</v>
      </c>
      <c r="B116" s="76">
        <v>1.07</v>
      </c>
      <c r="C116" s="77">
        <v>1.58</v>
      </c>
      <c r="D116" s="78">
        <v>3.78</v>
      </c>
      <c r="E116" s="77">
        <v>3.41</v>
      </c>
      <c r="F116" s="77">
        <v>3.9</v>
      </c>
      <c r="G116" s="78">
        <v>4.92</v>
      </c>
      <c r="H116" s="77">
        <v>56.21</v>
      </c>
      <c r="I116" s="77">
        <v>59.95</v>
      </c>
      <c r="J116" s="78">
        <v>11.41</v>
      </c>
      <c r="K116" s="111"/>
      <c r="L116" s="60"/>
      <c r="M116" s="60"/>
      <c r="N116" s="60"/>
      <c r="O116" s="60"/>
      <c r="P116" s="60"/>
    </row>
    <row r="117" spans="1:16" ht="16.5" thickBot="1">
      <c r="A117" s="83"/>
      <c r="B117" s="114"/>
      <c r="C117" s="115"/>
      <c r="D117" s="116"/>
      <c r="E117" s="85"/>
      <c r="F117" s="85"/>
      <c r="G117" s="86"/>
      <c r="H117" s="85"/>
      <c r="I117" s="85"/>
      <c r="J117" s="86"/>
      <c r="K117" s="111"/>
      <c r="L117" s="60"/>
      <c r="M117" s="60"/>
      <c r="N117" s="60"/>
      <c r="O117" s="60"/>
      <c r="P117" s="60"/>
    </row>
  </sheetData>
  <mergeCells count="21">
    <mergeCell ref="A83:P83"/>
    <mergeCell ref="A86:P86"/>
    <mergeCell ref="B87:D87"/>
    <mergeCell ref="E87:G87"/>
    <mergeCell ref="H87:J87"/>
    <mergeCell ref="K87:M87"/>
    <mergeCell ref="N87:P87"/>
    <mergeCell ref="A42:P42"/>
    <mergeCell ref="A45:P45"/>
    <mergeCell ref="B46:D46"/>
    <mergeCell ref="E46:G46"/>
    <mergeCell ref="H46:J46"/>
    <mergeCell ref="K46:M46"/>
    <mergeCell ref="N46:P46"/>
    <mergeCell ref="A1:P1"/>
    <mergeCell ref="A4:P4"/>
    <mergeCell ref="B5:D5"/>
    <mergeCell ref="E5:G5"/>
    <mergeCell ref="H5:J5"/>
    <mergeCell ref="K5:M5"/>
    <mergeCell ref="N5:P5"/>
  </mergeCells>
  <printOptions/>
  <pageMargins left="0.66" right="0.4" top="0.32" bottom="0.42" header="0.17" footer="0.1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28">
      <selection activeCell="A53" sqref="A53"/>
    </sheetView>
  </sheetViews>
  <sheetFormatPr defaultColWidth="9.140625" defaultRowHeight="12.75"/>
  <cols>
    <col min="1" max="1" width="38.421875" style="0" customWidth="1"/>
    <col min="2" max="16" width="10.00390625" style="0" customWidth="1"/>
  </cols>
  <sheetData>
    <row r="1" spans="1:16" ht="18.75">
      <c r="A1" s="176" t="s">
        <v>138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</row>
    <row r="2" spans="1:16" ht="14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7" ht="18" customHeight="1" thickBot="1">
      <c r="A3" s="117" t="s">
        <v>139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60"/>
    </row>
    <row r="4" spans="1:16" ht="15" customHeight="1">
      <c r="A4" s="61"/>
      <c r="B4" s="158" t="s">
        <v>1</v>
      </c>
      <c r="C4" s="159"/>
      <c r="D4" s="160"/>
      <c r="E4" s="161" t="s">
        <v>2</v>
      </c>
      <c r="F4" s="162"/>
      <c r="G4" s="163"/>
      <c r="H4" s="164" t="s">
        <v>3</v>
      </c>
      <c r="I4" s="162"/>
      <c r="J4" s="165"/>
      <c r="K4" s="161" t="s">
        <v>4</v>
      </c>
      <c r="L4" s="162"/>
      <c r="M4" s="163"/>
      <c r="N4" s="164" t="s">
        <v>5</v>
      </c>
      <c r="O4" s="162"/>
      <c r="P4" s="165"/>
    </row>
    <row r="5" spans="1:16" ht="15.75">
      <c r="A5" s="62"/>
      <c r="B5" s="63">
        <v>40633</v>
      </c>
      <c r="C5" s="64">
        <v>40543</v>
      </c>
      <c r="D5" s="65">
        <v>40268</v>
      </c>
      <c r="E5" s="63">
        <v>40633</v>
      </c>
      <c r="F5" s="64">
        <v>40543</v>
      </c>
      <c r="G5" s="65">
        <v>40268</v>
      </c>
      <c r="H5" s="63">
        <v>40633</v>
      </c>
      <c r="I5" s="64">
        <v>40543</v>
      </c>
      <c r="J5" s="65">
        <v>40268</v>
      </c>
      <c r="K5" s="63">
        <v>40633</v>
      </c>
      <c r="L5" s="64">
        <v>40543</v>
      </c>
      <c r="M5" s="65">
        <v>40268</v>
      </c>
      <c r="N5" s="63">
        <v>40633</v>
      </c>
      <c r="O5" s="64">
        <v>40543</v>
      </c>
      <c r="P5" s="65">
        <v>40268</v>
      </c>
    </row>
    <row r="6" spans="1:16" ht="15.75">
      <c r="A6" s="66" t="s">
        <v>140</v>
      </c>
      <c r="B6" s="119">
        <v>5.88</v>
      </c>
      <c r="C6" s="120">
        <v>6.08</v>
      </c>
      <c r="D6" s="121">
        <v>4.72</v>
      </c>
      <c r="E6" s="120">
        <v>2.3</v>
      </c>
      <c r="F6" s="122">
        <v>2.7</v>
      </c>
      <c r="G6" s="123">
        <v>2.61</v>
      </c>
      <c r="H6" s="120"/>
      <c r="I6" s="122">
        <v>7.54</v>
      </c>
      <c r="J6" s="123">
        <v>21.3</v>
      </c>
      <c r="K6" s="122">
        <v>2.46</v>
      </c>
      <c r="L6" s="122">
        <v>3.86</v>
      </c>
      <c r="M6" s="121">
        <v>3.86</v>
      </c>
      <c r="N6" s="120"/>
      <c r="O6" s="122">
        <v>9.21</v>
      </c>
      <c r="P6" s="123">
        <v>9.32</v>
      </c>
    </row>
    <row r="7" spans="1:16" ht="15.75">
      <c r="A7" s="66"/>
      <c r="B7" s="119"/>
      <c r="C7" s="120"/>
      <c r="D7" s="121"/>
      <c r="E7" s="120"/>
      <c r="F7" s="122"/>
      <c r="G7" s="123"/>
      <c r="H7" s="120"/>
      <c r="I7" s="122"/>
      <c r="J7" s="123"/>
      <c r="K7" s="122"/>
      <c r="L7" s="122"/>
      <c r="M7" s="121"/>
      <c r="N7" s="120"/>
      <c r="O7" s="122"/>
      <c r="P7" s="123"/>
    </row>
    <row r="8" spans="1:16" ht="15.75">
      <c r="A8" s="66" t="s">
        <v>141</v>
      </c>
      <c r="B8" s="119">
        <v>1</v>
      </c>
      <c r="C8" s="120">
        <v>1</v>
      </c>
      <c r="D8" s="121">
        <v>1</v>
      </c>
      <c r="E8" s="120">
        <v>1.34</v>
      </c>
      <c r="F8" s="122">
        <v>1.28</v>
      </c>
      <c r="G8" s="123">
        <v>1.68</v>
      </c>
      <c r="H8" s="120"/>
      <c r="I8" s="122"/>
      <c r="J8" s="123"/>
      <c r="K8" s="122">
        <v>1.13</v>
      </c>
      <c r="L8" s="122">
        <v>1.38</v>
      </c>
      <c r="M8" s="121">
        <v>1.35</v>
      </c>
      <c r="N8" s="120"/>
      <c r="O8" s="122"/>
      <c r="P8" s="123"/>
    </row>
    <row r="9" spans="1:16" ht="15.75">
      <c r="A9" s="66"/>
      <c r="B9" s="119"/>
      <c r="C9" s="120"/>
      <c r="D9" s="121"/>
      <c r="E9" s="120"/>
      <c r="F9" s="122"/>
      <c r="G9" s="123"/>
      <c r="H9" s="120"/>
      <c r="I9" s="122"/>
      <c r="J9" s="123"/>
      <c r="K9" s="122"/>
      <c r="L9" s="122"/>
      <c r="M9" s="121"/>
      <c r="N9" s="120"/>
      <c r="O9" s="122"/>
      <c r="P9" s="123"/>
    </row>
    <row r="10" spans="1:16" ht="15.75">
      <c r="A10" s="66" t="s">
        <v>142</v>
      </c>
      <c r="B10" s="119">
        <v>5.88</v>
      </c>
      <c r="C10" s="120">
        <v>6.08</v>
      </c>
      <c r="D10" s="121">
        <v>4.72</v>
      </c>
      <c r="E10" s="120">
        <v>3.08</v>
      </c>
      <c r="F10" s="122">
        <v>3.46</v>
      </c>
      <c r="G10" s="123">
        <v>4.38</v>
      </c>
      <c r="H10" s="120"/>
      <c r="I10" s="122"/>
      <c r="J10" s="123"/>
      <c r="K10" s="122">
        <v>2.78</v>
      </c>
      <c r="L10" s="122">
        <v>5.33</v>
      </c>
      <c r="M10" s="121">
        <v>5.21</v>
      </c>
      <c r="N10" s="120"/>
      <c r="O10" s="122"/>
      <c r="P10" s="123"/>
    </row>
    <row r="11" spans="1:16" ht="15.75">
      <c r="A11" s="72"/>
      <c r="B11" s="119"/>
      <c r="C11" s="120"/>
      <c r="D11" s="121"/>
      <c r="E11" s="120"/>
      <c r="F11" s="122"/>
      <c r="G11" s="123"/>
      <c r="H11" s="120"/>
      <c r="I11" s="122"/>
      <c r="J11" s="123"/>
      <c r="K11" s="122"/>
      <c r="L11" s="122"/>
      <c r="M11" s="121"/>
      <c r="N11" s="120"/>
      <c r="O11" s="122"/>
      <c r="P11" s="123"/>
    </row>
    <row r="12" spans="1:16" ht="15.75">
      <c r="A12" s="66" t="s">
        <v>143</v>
      </c>
      <c r="B12" s="124">
        <v>136756</v>
      </c>
      <c r="C12" s="125">
        <v>521075</v>
      </c>
      <c r="D12" s="126">
        <v>122028</v>
      </c>
      <c r="E12" s="125">
        <v>341573</v>
      </c>
      <c r="F12" s="127">
        <v>1335590</v>
      </c>
      <c r="G12" s="128">
        <v>301832</v>
      </c>
      <c r="H12" s="125">
        <v>50593</v>
      </c>
      <c r="I12" s="127">
        <v>172864</v>
      </c>
      <c r="J12" s="128">
        <v>38014</v>
      </c>
      <c r="K12" s="127">
        <v>43704</v>
      </c>
      <c r="L12" s="127">
        <v>195292</v>
      </c>
      <c r="M12" s="126">
        <v>37173</v>
      </c>
      <c r="N12" s="125">
        <v>73723</v>
      </c>
      <c r="O12" s="127">
        <v>265798</v>
      </c>
      <c r="P12" s="128">
        <v>63459</v>
      </c>
    </row>
    <row r="13" spans="1:16" ht="15.75">
      <c r="A13" s="72"/>
      <c r="B13" s="129"/>
      <c r="C13" s="130"/>
      <c r="D13" s="131"/>
      <c r="E13" s="130"/>
      <c r="F13" s="132"/>
      <c r="G13" s="133"/>
      <c r="H13" s="130"/>
      <c r="I13" s="132"/>
      <c r="J13" s="133"/>
      <c r="K13" s="132"/>
      <c r="L13" s="132"/>
      <c r="M13" s="131"/>
      <c r="N13" s="130"/>
      <c r="O13" s="132"/>
      <c r="P13" s="133"/>
    </row>
    <row r="14" spans="1:16" ht="15.75">
      <c r="A14" s="66" t="s">
        <v>144</v>
      </c>
      <c r="B14" s="129">
        <v>17.01</v>
      </c>
      <c r="C14" s="130">
        <v>16.45</v>
      </c>
      <c r="D14" s="131">
        <v>21.2</v>
      </c>
      <c r="E14" s="130">
        <v>43.44</v>
      </c>
      <c r="F14" s="132">
        <v>37.09</v>
      </c>
      <c r="G14" s="133">
        <v>38.32</v>
      </c>
      <c r="H14" s="130"/>
      <c r="I14" s="132">
        <v>13.28</v>
      </c>
      <c r="J14" s="133">
        <v>4.7</v>
      </c>
      <c r="K14" s="132">
        <v>40.63</v>
      </c>
      <c r="L14" s="132">
        <v>25.92</v>
      </c>
      <c r="M14" s="131">
        <v>25.88</v>
      </c>
      <c r="N14" s="130"/>
      <c r="O14" s="132">
        <v>10.86</v>
      </c>
      <c r="P14" s="133">
        <v>10.71</v>
      </c>
    </row>
    <row r="15" spans="1:16" ht="15.75">
      <c r="A15" s="66"/>
      <c r="B15" s="129"/>
      <c r="C15" s="132"/>
      <c r="D15" s="133"/>
      <c r="E15" s="134"/>
      <c r="F15" s="132"/>
      <c r="G15" s="134"/>
      <c r="H15" s="129"/>
      <c r="I15" s="132"/>
      <c r="J15" s="133"/>
      <c r="K15" s="134"/>
      <c r="L15" s="132"/>
      <c r="M15" s="134"/>
      <c r="N15" s="129"/>
      <c r="O15" s="132"/>
      <c r="P15" s="133"/>
    </row>
    <row r="16" spans="1:16" ht="16.5" thickBot="1">
      <c r="A16" s="135" t="s">
        <v>145</v>
      </c>
      <c r="B16" s="169" t="s">
        <v>146</v>
      </c>
      <c r="C16" s="170"/>
      <c r="D16" s="175"/>
      <c r="E16" s="169" t="s">
        <v>147</v>
      </c>
      <c r="F16" s="170"/>
      <c r="G16" s="170"/>
      <c r="H16" s="169" t="s">
        <v>147</v>
      </c>
      <c r="I16" s="170"/>
      <c r="J16" s="175"/>
      <c r="K16" s="170" t="s">
        <v>148</v>
      </c>
      <c r="L16" s="170"/>
      <c r="M16" s="170"/>
      <c r="N16" s="169" t="s">
        <v>149</v>
      </c>
      <c r="O16" s="170"/>
      <c r="P16" s="175"/>
    </row>
    <row r="17" spans="1:16" ht="14.25" customHeight="1">
      <c r="A17" s="87"/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</row>
    <row r="18" spans="1:16" ht="14.25" customHeight="1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</row>
    <row r="19" spans="1:16" ht="18" customHeight="1" thickBot="1">
      <c r="A19" s="117" t="s">
        <v>150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</row>
    <row r="20" spans="1:16" ht="15" customHeight="1">
      <c r="A20" s="61"/>
      <c r="B20" s="164" t="s">
        <v>6</v>
      </c>
      <c r="C20" s="162"/>
      <c r="D20" s="165"/>
      <c r="E20" s="161" t="s">
        <v>7</v>
      </c>
      <c r="F20" s="162"/>
      <c r="G20" s="163"/>
      <c r="H20" s="164" t="s">
        <v>95</v>
      </c>
      <c r="I20" s="162"/>
      <c r="J20" s="165"/>
      <c r="K20" s="161" t="s">
        <v>8</v>
      </c>
      <c r="L20" s="162"/>
      <c r="M20" s="163"/>
      <c r="N20" s="164" t="s">
        <v>9</v>
      </c>
      <c r="O20" s="162"/>
      <c r="P20" s="165"/>
    </row>
    <row r="21" spans="1:16" ht="15.75">
      <c r="A21" s="62"/>
      <c r="B21" s="63">
        <v>40633</v>
      </c>
      <c r="C21" s="64">
        <v>40543</v>
      </c>
      <c r="D21" s="65">
        <v>40268</v>
      </c>
      <c r="E21" s="63">
        <v>40633</v>
      </c>
      <c r="F21" s="64">
        <v>40543</v>
      </c>
      <c r="G21" s="65">
        <v>40268</v>
      </c>
      <c r="H21" s="63">
        <v>40633</v>
      </c>
      <c r="I21" s="64">
        <v>40543</v>
      </c>
      <c r="J21" s="65">
        <v>40268</v>
      </c>
      <c r="K21" s="63">
        <v>40633</v>
      </c>
      <c r="L21" s="64">
        <v>40543</v>
      </c>
      <c r="M21" s="65">
        <v>40268</v>
      </c>
      <c r="N21" s="63">
        <v>40633</v>
      </c>
      <c r="O21" s="64">
        <v>40543</v>
      </c>
      <c r="P21" s="65">
        <v>40268</v>
      </c>
    </row>
    <row r="22" spans="1:16" ht="15.75">
      <c r="A22" s="66" t="s">
        <v>140</v>
      </c>
      <c r="B22" s="138"/>
      <c r="C22" s="122"/>
      <c r="D22" s="123"/>
      <c r="E22" s="120">
        <v>1.47</v>
      </c>
      <c r="F22" s="122">
        <v>1.48</v>
      </c>
      <c r="G22" s="120">
        <v>1.37</v>
      </c>
      <c r="H22" s="138">
        <v>3.3</v>
      </c>
      <c r="I22" s="122">
        <v>3.42</v>
      </c>
      <c r="J22" s="123">
        <v>2.63</v>
      </c>
      <c r="K22" s="139">
        <v>134.62</v>
      </c>
      <c r="L22" s="122">
        <v>12.06</v>
      </c>
      <c r="M22" s="123">
        <v>9.65</v>
      </c>
      <c r="N22" s="119"/>
      <c r="O22" s="122">
        <v>46.75</v>
      </c>
      <c r="P22" s="123"/>
    </row>
    <row r="23" spans="1:16" ht="15.75">
      <c r="A23" s="66"/>
      <c r="B23" s="138"/>
      <c r="C23" s="122"/>
      <c r="D23" s="123"/>
      <c r="E23" s="120"/>
      <c r="F23" s="122"/>
      <c r="G23" s="120"/>
      <c r="H23" s="138"/>
      <c r="I23" s="122"/>
      <c r="J23" s="123"/>
      <c r="K23" s="139"/>
      <c r="L23" s="122"/>
      <c r="M23" s="123"/>
      <c r="N23" s="119"/>
      <c r="O23" s="122"/>
      <c r="P23" s="123"/>
    </row>
    <row r="24" spans="1:16" ht="15.75">
      <c r="A24" s="66" t="s">
        <v>141</v>
      </c>
      <c r="B24" s="138"/>
      <c r="C24" s="122"/>
      <c r="D24" s="123"/>
      <c r="E24" s="120">
        <v>1.33</v>
      </c>
      <c r="F24" s="122">
        <v>1.65</v>
      </c>
      <c r="G24" s="120">
        <v>1.16</v>
      </c>
      <c r="H24" s="138">
        <v>1.95</v>
      </c>
      <c r="I24" s="122">
        <v>1.51</v>
      </c>
      <c r="J24" s="123">
        <v>2.42</v>
      </c>
      <c r="K24" s="139">
        <v>1</v>
      </c>
      <c r="L24" s="122">
        <v>1</v>
      </c>
      <c r="M24" s="123">
        <v>1</v>
      </c>
      <c r="N24" s="119"/>
      <c r="O24" s="122">
        <v>2.85</v>
      </c>
      <c r="P24" s="123"/>
    </row>
    <row r="25" spans="1:16" ht="15.75">
      <c r="A25" s="66"/>
      <c r="B25" s="138"/>
      <c r="C25" s="122"/>
      <c r="D25" s="123"/>
      <c r="E25" s="120"/>
      <c r="F25" s="122"/>
      <c r="G25" s="120"/>
      <c r="H25" s="138"/>
      <c r="I25" s="122"/>
      <c r="J25" s="123"/>
      <c r="K25" s="139"/>
      <c r="L25" s="122"/>
      <c r="M25" s="123"/>
      <c r="N25" s="119"/>
      <c r="O25" s="122"/>
      <c r="P25" s="123"/>
    </row>
    <row r="26" spans="1:16" ht="15.75">
      <c r="A26" s="66" t="s">
        <v>142</v>
      </c>
      <c r="B26" s="138"/>
      <c r="C26" s="122"/>
      <c r="D26" s="123"/>
      <c r="E26" s="120">
        <v>1.96</v>
      </c>
      <c r="F26" s="122">
        <v>2.44</v>
      </c>
      <c r="G26" s="120">
        <v>1.59</v>
      </c>
      <c r="H26" s="138">
        <v>6.41</v>
      </c>
      <c r="I26" s="122">
        <v>5.16</v>
      </c>
      <c r="J26" s="123">
        <v>6.35</v>
      </c>
      <c r="K26" s="139">
        <v>134.62</v>
      </c>
      <c r="L26" s="122">
        <v>12.06</v>
      </c>
      <c r="M26" s="123">
        <v>9.65</v>
      </c>
      <c r="N26" s="119"/>
      <c r="O26" s="122">
        <v>133.24</v>
      </c>
      <c r="P26" s="123"/>
    </row>
    <row r="27" spans="1:16" ht="15.75">
      <c r="A27" s="72"/>
      <c r="B27" s="138"/>
      <c r="C27" s="122"/>
      <c r="D27" s="123"/>
      <c r="E27" s="120"/>
      <c r="F27" s="122"/>
      <c r="G27" s="120"/>
      <c r="H27" s="138"/>
      <c r="I27" s="122"/>
      <c r="J27" s="123"/>
      <c r="K27" s="139"/>
      <c r="L27" s="122"/>
      <c r="M27" s="123"/>
      <c r="N27" s="119"/>
      <c r="O27" s="122"/>
      <c r="P27" s="123"/>
    </row>
    <row r="28" spans="1:16" ht="15.75">
      <c r="A28" s="66" t="s">
        <v>143</v>
      </c>
      <c r="B28" s="140">
        <v>216687</v>
      </c>
      <c r="C28" s="127">
        <v>857393</v>
      </c>
      <c r="D28" s="128">
        <v>223832</v>
      </c>
      <c r="E28" s="125">
        <v>25813</v>
      </c>
      <c r="F28" s="127">
        <v>91299</v>
      </c>
      <c r="G28" s="125">
        <v>20786</v>
      </c>
      <c r="H28" s="140">
        <v>6872</v>
      </c>
      <c r="I28" s="127">
        <v>28281</v>
      </c>
      <c r="J28" s="128">
        <v>5474</v>
      </c>
      <c r="K28" s="141">
        <v>123927</v>
      </c>
      <c r="L28" s="127">
        <v>578901.23</v>
      </c>
      <c r="M28" s="128">
        <v>101131</v>
      </c>
      <c r="N28" s="124">
        <v>153254</v>
      </c>
      <c r="O28" s="127">
        <v>523946</v>
      </c>
      <c r="P28" s="128">
        <v>133494</v>
      </c>
    </row>
    <row r="29" spans="1:16" ht="15.75">
      <c r="A29" s="72"/>
      <c r="B29" s="142"/>
      <c r="C29" s="132"/>
      <c r="D29" s="133"/>
      <c r="E29" s="130"/>
      <c r="F29" s="132"/>
      <c r="G29" s="130"/>
      <c r="H29" s="142"/>
      <c r="I29" s="132"/>
      <c r="J29" s="133"/>
      <c r="K29" s="134"/>
      <c r="L29" s="132"/>
      <c r="M29" s="133"/>
      <c r="N29" s="129"/>
      <c r="O29" s="132"/>
      <c r="P29" s="133"/>
    </row>
    <row r="30" spans="1:16" ht="15.75">
      <c r="A30" s="66" t="s">
        <v>144</v>
      </c>
      <c r="B30" s="142"/>
      <c r="C30" s="132"/>
      <c r="D30" s="133"/>
      <c r="E30" s="130">
        <v>67.82</v>
      </c>
      <c r="F30" s="132">
        <v>67.75</v>
      </c>
      <c r="G30" s="130">
        <v>72.84</v>
      </c>
      <c r="H30" s="142">
        <v>30.35</v>
      </c>
      <c r="I30" s="132">
        <v>29.24</v>
      </c>
      <c r="J30" s="133">
        <v>38.09</v>
      </c>
      <c r="K30" s="134">
        <v>0.74</v>
      </c>
      <c r="L30" s="132">
        <v>8.65</v>
      </c>
      <c r="M30" s="133">
        <v>10.36</v>
      </c>
      <c r="N30" s="129"/>
      <c r="O30" s="132">
        <v>2.15</v>
      </c>
      <c r="P30" s="133"/>
    </row>
    <row r="31" spans="1:16" ht="15.75">
      <c r="A31" s="66"/>
      <c r="B31" s="142"/>
      <c r="C31" s="132"/>
      <c r="D31" s="131"/>
      <c r="E31" s="143"/>
      <c r="F31" s="132"/>
      <c r="G31" s="130"/>
      <c r="H31" s="142"/>
      <c r="I31" s="132"/>
      <c r="J31" s="131"/>
      <c r="K31" s="143"/>
      <c r="L31" s="132"/>
      <c r="M31" s="130"/>
      <c r="N31" s="142"/>
      <c r="O31" s="132"/>
      <c r="P31" s="131"/>
    </row>
    <row r="32" spans="1:16" ht="16.5" thickBot="1">
      <c r="A32" s="135" t="s">
        <v>145</v>
      </c>
      <c r="B32" s="169" t="s">
        <v>151</v>
      </c>
      <c r="C32" s="170"/>
      <c r="D32" s="175"/>
      <c r="E32" s="169" t="s">
        <v>152</v>
      </c>
      <c r="F32" s="170"/>
      <c r="G32" s="170"/>
      <c r="H32" s="169" t="s">
        <v>153</v>
      </c>
      <c r="I32" s="170"/>
      <c r="J32" s="170"/>
      <c r="K32" s="169" t="s">
        <v>152</v>
      </c>
      <c r="L32" s="170"/>
      <c r="M32" s="170"/>
      <c r="N32" s="171" t="s">
        <v>152</v>
      </c>
      <c r="O32" s="172"/>
      <c r="P32" s="173"/>
    </row>
    <row r="33" spans="1:16" ht="14.25" customHeight="1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</row>
    <row r="34" spans="1:16" ht="14.25" customHeight="1">
      <c r="A34" s="154"/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</row>
    <row r="35" spans="1:16" ht="18" customHeight="1" thickBot="1">
      <c r="A35" s="144" t="s">
        <v>154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</row>
    <row r="36" spans="1:16" ht="27.75" customHeight="1">
      <c r="A36" s="61"/>
      <c r="B36" s="158" t="s">
        <v>135</v>
      </c>
      <c r="C36" s="159"/>
      <c r="D36" s="174"/>
      <c r="E36" s="164" t="s">
        <v>136</v>
      </c>
      <c r="F36" s="162"/>
      <c r="G36" s="165"/>
      <c r="H36" s="161" t="s">
        <v>137</v>
      </c>
      <c r="I36" s="162"/>
      <c r="J36" s="165"/>
      <c r="K36" s="168"/>
      <c r="L36" s="168"/>
      <c r="M36" s="168"/>
      <c r="N36" s="168"/>
      <c r="O36" s="168"/>
      <c r="P36" s="168"/>
    </row>
    <row r="37" spans="1:16" ht="15.75">
      <c r="A37" s="62"/>
      <c r="B37" s="63">
        <v>40633</v>
      </c>
      <c r="C37" s="64">
        <v>40543</v>
      </c>
      <c r="D37" s="65">
        <v>40268</v>
      </c>
      <c r="E37" s="63">
        <v>40633</v>
      </c>
      <c r="F37" s="64">
        <v>40543</v>
      </c>
      <c r="G37" s="65">
        <v>40268</v>
      </c>
      <c r="H37" s="63">
        <v>40633</v>
      </c>
      <c r="I37" s="64">
        <v>40543</v>
      </c>
      <c r="J37" s="65">
        <v>40268</v>
      </c>
      <c r="K37" s="98"/>
      <c r="L37" s="98"/>
      <c r="M37" s="98"/>
      <c r="N37" s="98"/>
      <c r="O37" s="98"/>
      <c r="P37" s="98"/>
    </row>
    <row r="38" spans="1:16" ht="15.75">
      <c r="A38" s="66" t="s">
        <v>140</v>
      </c>
      <c r="B38" s="145">
        <v>2.07</v>
      </c>
      <c r="C38" s="146">
        <v>2.12</v>
      </c>
      <c r="D38" s="139">
        <v>2.05</v>
      </c>
      <c r="E38" s="138">
        <v>11.81</v>
      </c>
      <c r="F38" s="122">
        <v>10.71</v>
      </c>
      <c r="G38" s="123">
        <v>7.75</v>
      </c>
      <c r="H38" s="122">
        <v>2.3</v>
      </c>
      <c r="I38" s="122">
        <v>2.55</v>
      </c>
      <c r="J38" s="123">
        <v>1.86</v>
      </c>
      <c r="K38" s="105"/>
      <c r="L38" s="105"/>
      <c r="M38" s="105"/>
      <c r="N38" s="105"/>
      <c r="O38" s="105"/>
      <c r="P38" s="105"/>
    </row>
    <row r="39" spans="1:16" ht="15.75">
      <c r="A39" s="66"/>
      <c r="B39" s="147"/>
      <c r="C39" s="146"/>
      <c r="D39" s="139"/>
      <c r="E39" s="138"/>
      <c r="F39" s="122"/>
      <c r="G39" s="123"/>
      <c r="H39" s="122"/>
      <c r="I39" s="122"/>
      <c r="J39" s="123"/>
      <c r="K39" s="105"/>
      <c r="L39" s="105"/>
      <c r="M39" s="105"/>
      <c r="N39" s="105"/>
      <c r="O39" s="105"/>
      <c r="P39" s="105"/>
    </row>
    <row r="40" spans="1:16" ht="15.75">
      <c r="A40" s="66" t="s">
        <v>141</v>
      </c>
      <c r="B40" s="138">
        <v>1</v>
      </c>
      <c r="C40" s="148">
        <v>1.01</v>
      </c>
      <c r="D40" s="139">
        <v>1</v>
      </c>
      <c r="E40" s="138">
        <v>4.37</v>
      </c>
      <c r="F40" s="122">
        <v>1</v>
      </c>
      <c r="G40" s="123">
        <v>1</v>
      </c>
      <c r="H40" s="122">
        <v>30.83</v>
      </c>
      <c r="I40" s="122"/>
      <c r="J40" s="123">
        <v>1.19</v>
      </c>
      <c r="K40" s="105"/>
      <c r="L40" s="105"/>
      <c r="M40" s="105"/>
      <c r="N40" s="105"/>
      <c r="O40" s="105"/>
      <c r="P40" s="105"/>
    </row>
    <row r="41" spans="1:16" ht="15.75">
      <c r="A41" s="66"/>
      <c r="B41" s="149"/>
      <c r="C41" s="146"/>
      <c r="D41" s="139"/>
      <c r="E41" s="138"/>
      <c r="F41" s="122"/>
      <c r="G41" s="123"/>
      <c r="H41" s="122"/>
      <c r="I41" s="122"/>
      <c r="J41" s="123"/>
      <c r="K41" s="105"/>
      <c r="L41" s="105"/>
      <c r="M41" s="105"/>
      <c r="N41" s="105"/>
      <c r="O41" s="105"/>
      <c r="P41" s="105"/>
    </row>
    <row r="42" spans="1:16" ht="15.75">
      <c r="A42" s="66" t="s">
        <v>142</v>
      </c>
      <c r="B42" s="145">
        <v>2.07</v>
      </c>
      <c r="C42" s="146">
        <v>2.14</v>
      </c>
      <c r="D42" s="139">
        <v>2.05</v>
      </c>
      <c r="E42" s="138">
        <v>51.61</v>
      </c>
      <c r="F42" s="122">
        <v>10.71</v>
      </c>
      <c r="G42" s="123">
        <v>7.75</v>
      </c>
      <c r="H42" s="122">
        <v>70.91</v>
      </c>
      <c r="I42" s="122"/>
      <c r="J42" s="123">
        <v>2.21</v>
      </c>
      <c r="K42" s="105"/>
      <c r="L42" s="105"/>
      <c r="M42" s="105"/>
      <c r="N42" s="105"/>
      <c r="O42" s="105"/>
      <c r="P42" s="105"/>
    </row>
    <row r="43" spans="1:16" ht="15.75">
      <c r="A43" s="72"/>
      <c r="B43" s="145"/>
      <c r="C43" s="146"/>
      <c r="D43" s="139"/>
      <c r="E43" s="138"/>
      <c r="F43" s="122"/>
      <c r="G43" s="123"/>
      <c r="H43" s="122"/>
      <c r="I43" s="122"/>
      <c r="J43" s="123"/>
      <c r="K43" s="105"/>
      <c r="L43" s="105"/>
      <c r="M43" s="105"/>
      <c r="N43" s="105"/>
      <c r="O43" s="105"/>
      <c r="P43" s="105"/>
    </row>
    <row r="44" spans="1:16" ht="15.75">
      <c r="A44" s="66" t="s">
        <v>155</v>
      </c>
      <c r="B44" s="150">
        <v>899953</v>
      </c>
      <c r="C44" s="151">
        <v>3612340</v>
      </c>
      <c r="D44" s="141">
        <v>889916</v>
      </c>
      <c r="E44" s="140">
        <v>344000</v>
      </c>
      <c r="F44" s="127">
        <v>1680134</v>
      </c>
      <c r="G44" s="128">
        <v>322256</v>
      </c>
      <c r="H44" s="127">
        <v>124213</v>
      </c>
      <c r="I44" s="127">
        <v>120754</v>
      </c>
      <c r="J44" s="128">
        <v>108421</v>
      </c>
      <c r="K44" s="105"/>
      <c r="L44" s="105"/>
      <c r="M44" s="105"/>
      <c r="N44" s="105"/>
      <c r="O44" s="105"/>
      <c r="P44" s="105"/>
    </row>
    <row r="45" spans="1:16" ht="15.75">
      <c r="A45" s="72"/>
      <c r="B45" s="145"/>
      <c r="C45" s="146"/>
      <c r="D45" s="134"/>
      <c r="E45" s="142"/>
      <c r="F45" s="132"/>
      <c r="G45" s="133"/>
      <c r="H45" s="132"/>
      <c r="I45" s="132"/>
      <c r="J45" s="133"/>
      <c r="K45" s="107"/>
      <c r="L45" s="107"/>
      <c r="M45" s="107"/>
      <c r="N45" s="107"/>
      <c r="O45" s="107"/>
      <c r="P45" s="107"/>
    </row>
    <row r="46" spans="1:10" ht="15.75">
      <c r="A46" s="66" t="s">
        <v>144</v>
      </c>
      <c r="B46" s="145">
        <v>48.18</v>
      </c>
      <c r="C46" s="146">
        <v>47.24</v>
      </c>
      <c r="D46" s="134">
        <v>48.71</v>
      </c>
      <c r="E46" s="142">
        <v>8.43</v>
      </c>
      <c r="F46" s="132">
        <v>9.32</v>
      </c>
      <c r="G46" s="133">
        <v>12.87</v>
      </c>
      <c r="H46" s="132">
        <v>43.96</v>
      </c>
      <c r="I46" s="132">
        <v>86.22</v>
      </c>
      <c r="J46" s="133">
        <v>54.41</v>
      </c>
    </row>
    <row r="47" spans="1:10" ht="15.75">
      <c r="A47" s="66"/>
      <c r="B47" s="145"/>
      <c r="C47" s="146"/>
      <c r="D47" s="130"/>
      <c r="E47" s="142"/>
      <c r="F47" s="132"/>
      <c r="G47" s="131"/>
      <c r="H47" s="143"/>
      <c r="I47" s="132"/>
      <c r="J47" s="131"/>
    </row>
    <row r="48" spans="1:10" ht="16.5" thickBot="1">
      <c r="A48" s="135" t="s">
        <v>145</v>
      </c>
      <c r="B48" s="169" t="s">
        <v>156</v>
      </c>
      <c r="C48" s="170"/>
      <c r="D48" s="170"/>
      <c r="E48" s="169" t="s">
        <v>157</v>
      </c>
      <c r="F48" s="170"/>
      <c r="G48" s="170"/>
      <c r="H48" s="171" t="s">
        <v>152</v>
      </c>
      <c r="I48" s="172"/>
      <c r="J48" s="173"/>
    </row>
    <row r="52" ht="12.75">
      <c r="A52" t="s">
        <v>158</v>
      </c>
    </row>
    <row r="53" ht="12.75">
      <c r="A53" t="s">
        <v>159</v>
      </c>
    </row>
  </sheetData>
  <mergeCells count="31">
    <mergeCell ref="K16:M16"/>
    <mergeCell ref="A1:P1"/>
    <mergeCell ref="B4:D4"/>
    <mergeCell ref="E4:G4"/>
    <mergeCell ref="H4:J4"/>
    <mergeCell ref="K4:M4"/>
    <mergeCell ref="N4:P4"/>
    <mergeCell ref="N16:P16"/>
    <mergeCell ref="A18:P18"/>
    <mergeCell ref="B20:D20"/>
    <mergeCell ref="E20:G20"/>
    <mergeCell ref="H20:J20"/>
    <mergeCell ref="K20:M20"/>
    <mergeCell ref="N20:P20"/>
    <mergeCell ref="B16:D16"/>
    <mergeCell ref="E16:G16"/>
    <mergeCell ref="H16:J16"/>
    <mergeCell ref="B32:D32"/>
    <mergeCell ref="E32:G32"/>
    <mergeCell ref="H32:J32"/>
    <mergeCell ref="K32:M32"/>
    <mergeCell ref="B48:D48"/>
    <mergeCell ref="E48:G48"/>
    <mergeCell ref="H48:J48"/>
    <mergeCell ref="N32:P32"/>
    <mergeCell ref="A34:P34"/>
    <mergeCell ref="B36:D36"/>
    <mergeCell ref="E36:G36"/>
    <mergeCell ref="H36:J36"/>
    <mergeCell ref="K36:M36"/>
    <mergeCell ref="N36:P36"/>
  </mergeCells>
  <printOptions/>
  <pageMargins left="0.66" right="0.4" top="0.32" bottom="0.42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Metalac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pravna</cp:lastModifiedBy>
  <cp:lastPrinted>2010-12-16T11:53:58Z</cp:lastPrinted>
  <dcterms:created xsi:type="dcterms:W3CDTF">2009-02-24T07:04:59Z</dcterms:created>
  <dcterms:modified xsi:type="dcterms:W3CDTF">2011-05-10T08:40:01Z</dcterms:modified>
  <cp:category/>
  <cp:version/>
  <cp:contentType/>
  <cp:contentStatus/>
</cp:coreProperties>
</file>